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firstSheet="12" activeTab="18"/>
  </bookViews>
  <sheets>
    <sheet name="Feuil1" sheetId="1" r:id="rId1"/>
    <sheet name="maquette" sheetId="2" r:id="rId2"/>
    <sheet name="promotion 8" sheetId="3" r:id="rId3"/>
    <sheet name="sem 37" sheetId="4" r:id="rId4"/>
    <sheet name="sem 38" sheetId="5" r:id="rId5"/>
    <sheet name="sem 39" sheetId="6" r:id="rId6"/>
    <sheet name="sem 40" sheetId="7" r:id="rId7"/>
    <sheet name="sem 43" sheetId="8" r:id="rId8"/>
    <sheet name="sem 44" sheetId="9" r:id="rId9"/>
    <sheet name="sem 45" sheetId="10" r:id="rId10"/>
    <sheet name="sem 48" sheetId="11" r:id="rId11"/>
    <sheet name="sem 49" sheetId="12" r:id="rId12"/>
    <sheet name="sem 50" sheetId="13" r:id="rId13"/>
    <sheet name="sem 2" sheetId="14" r:id="rId14"/>
    <sheet name="sem 3" sheetId="15" r:id="rId15"/>
    <sheet name="sem 4" sheetId="16" r:id="rId16"/>
    <sheet name="sem 7" sheetId="17" r:id="rId17"/>
    <sheet name="sem 8" sheetId="18" r:id="rId18"/>
    <sheet name="sem 9" sheetId="19" r:id="rId19"/>
    <sheet name="sem 22" sheetId="20" r:id="rId20"/>
    <sheet name="soutenances" sheetId="21" r:id="rId21"/>
  </sheets>
  <definedNames>
    <definedName name="_xlnm.Print_Area" localSheetId="1">'maquette'!$A$1:$N$91</definedName>
  </definedNames>
  <calcPr fullCalcOnLoad="1" refMode="R1C1"/>
</workbook>
</file>

<file path=xl/sharedStrings.xml><?xml version="1.0" encoding="utf-8"?>
<sst xmlns="http://schemas.openxmlformats.org/spreadsheetml/2006/main" count="1357" uniqueCount="579">
  <si>
    <t>Unités d'enseignement</t>
  </si>
  <si>
    <t>H</t>
  </si>
  <si>
    <t>CM</t>
  </si>
  <si>
    <t>TP</t>
  </si>
  <si>
    <t>ECTS</t>
  </si>
  <si>
    <t>S6</t>
  </si>
  <si>
    <t>UEF</t>
  </si>
  <si>
    <t>S5</t>
  </si>
  <si>
    <t>Enseignements transversaux et additionnels</t>
  </si>
  <si>
    <t>Chimie nucléaire</t>
  </si>
  <si>
    <t>aspects de radioécologie</t>
  </si>
  <si>
    <t>échantillonnage et préparation de sources</t>
  </si>
  <si>
    <t>spectroscopies</t>
  </si>
  <si>
    <t>électrochimie</t>
  </si>
  <si>
    <t>Statistiques et métrologie</t>
  </si>
  <si>
    <t>problématiques de métrologie chimique et nucléaire</t>
  </si>
  <si>
    <t>CTDI</t>
  </si>
  <si>
    <t>8h</t>
  </si>
  <si>
    <t>8h30</t>
  </si>
  <si>
    <t>9h</t>
  </si>
  <si>
    <t>9h30</t>
  </si>
  <si>
    <t>10h</t>
  </si>
  <si>
    <t>10h30</t>
  </si>
  <si>
    <t>11h</t>
  </si>
  <si>
    <t>11h30</t>
  </si>
  <si>
    <t>12h</t>
  </si>
  <si>
    <t>12h30</t>
  </si>
  <si>
    <t>pause déjeuner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</si>
  <si>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</si>
  <si>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</si>
  <si>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</si>
  <si>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</si>
  <si>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</si>
  <si>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</si>
  <si>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</si>
  <si>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</si>
  <si>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</si>
  <si>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r>
      <t>Lundi</t>
    </r>
  </si>
  <si>
    <t>Mardi</t>
  </si>
  <si>
    <t>Mercredi</t>
  </si>
  <si>
    <t>Jeudi</t>
  </si>
  <si>
    <t>Vendredi</t>
  </si>
  <si>
    <t>TD</t>
  </si>
  <si>
    <t>techniques séparatives</t>
  </si>
  <si>
    <t>conférences</t>
  </si>
  <si>
    <t>Horaire</t>
  </si>
  <si>
    <t>Apprenti</t>
  </si>
  <si>
    <t>Entreprise</t>
  </si>
  <si>
    <t>L3P MCN</t>
  </si>
  <si>
    <t>Prévention des risques en santé sécurité</t>
  </si>
  <si>
    <t>Anglais scientifique et technique</t>
  </si>
  <si>
    <t>Normes et règlementation</t>
  </si>
  <si>
    <t>Organisation, insertion et création d'entreprise</t>
  </si>
  <si>
    <t>Préparation à la certification "sauveteur secouriste du travail"</t>
  </si>
  <si>
    <t>Enseignement des principes théoriques de la certification PCR (unité 1)</t>
  </si>
  <si>
    <t>Techniques d'analyse</t>
  </si>
  <si>
    <t>statistiques et validation de méthodes</t>
  </si>
  <si>
    <t>plans d'expériences et analyses factorielles</t>
  </si>
  <si>
    <t>NOM</t>
  </si>
  <si>
    <t>Prénom</t>
  </si>
  <si>
    <t>tuteur universitaire</t>
  </si>
  <si>
    <t>mail</t>
  </si>
  <si>
    <t>teléphone</t>
  </si>
  <si>
    <t>SERS</t>
  </si>
  <si>
    <t>détecteurs à gaz</t>
  </si>
  <si>
    <t>scintillation liquide alpha</t>
  </si>
  <si>
    <t>scintillation liquide</t>
  </si>
  <si>
    <t>spectrométrie gamma</t>
  </si>
  <si>
    <t>spectrométrie alpha</t>
  </si>
  <si>
    <t>IR-Raman</t>
  </si>
  <si>
    <t>UV-visible</t>
  </si>
  <si>
    <t>analyses factorielles</t>
  </si>
  <si>
    <t>validation de méthodes</t>
  </si>
  <si>
    <t>cartes de contrôles</t>
  </si>
  <si>
    <t>analyses à 1 VA</t>
  </si>
  <si>
    <t>incertitudes de mesures</t>
  </si>
  <si>
    <t>sensibilisation à la création d'entreprise</t>
  </si>
  <si>
    <t>conduite de projet</t>
  </si>
  <si>
    <t>Connaissance de l'entreprise - Droit du travail - Outils de management et gestion des ressources humaines</t>
  </si>
  <si>
    <t>aide à l'insertion</t>
  </si>
  <si>
    <t>dilution isotopique</t>
  </si>
  <si>
    <t>ICP-MS</t>
  </si>
  <si>
    <t>Projet tuteuré (env 150h)</t>
  </si>
  <si>
    <t>Bac +2</t>
  </si>
  <si>
    <t>fiche entreprise</t>
  </si>
  <si>
    <t>Maître d'apprentissage</t>
  </si>
  <si>
    <t>spectrométries et détecteurs à gaz</t>
  </si>
  <si>
    <t>physique nucléaire (interaction rayonnement-matière)</t>
  </si>
  <si>
    <t>Caractérisation des nanomatériaux</t>
  </si>
  <si>
    <t>La radioactivité au quotidien</t>
  </si>
  <si>
    <t>EDF Chinon</t>
  </si>
  <si>
    <t>Votre présence est OBLIGATOIRE sauf si huis-clos</t>
  </si>
  <si>
    <t>chimie des solutions</t>
  </si>
  <si>
    <t>visites de sites (4 jours)</t>
  </si>
  <si>
    <r>
      <t xml:space="preserve">L3P : Métrologie Chimique et Nucléaire </t>
    </r>
    <r>
      <rPr>
        <b/>
        <sz val="18"/>
        <color indexed="10"/>
        <rFont val="Arial"/>
        <family val="2"/>
      </rPr>
      <t>2023-2027 projet validé</t>
    </r>
  </si>
  <si>
    <t>responsable UE</t>
  </si>
  <si>
    <t>intervenants</t>
  </si>
  <si>
    <t>Périodes de formation alternées en milieu pro (34-35 semaines)</t>
  </si>
  <si>
    <t>M. Le Guennec</t>
  </si>
  <si>
    <t>divers</t>
  </si>
  <si>
    <t>emmanuel vincent</t>
  </si>
  <si>
    <t>mark kellett</t>
  </si>
  <si>
    <t>lucile labbé</t>
  </si>
  <si>
    <t>fabienne tournes</t>
  </si>
  <si>
    <t>véronique voisse</t>
  </si>
  <si>
    <t>isabelle dudit</t>
  </si>
  <si>
    <t>Cybersécurité et Protection des données</t>
  </si>
  <si>
    <t>olivier perpenat</t>
  </si>
  <si>
    <t>Création d'entreprise - Retour d'expérience</t>
  </si>
  <si>
    <t>david jacob</t>
  </si>
  <si>
    <t>P. Eudes + S. Huclier</t>
  </si>
  <si>
    <t>échantillonnage</t>
  </si>
  <si>
    <t>yann kergadallan</t>
  </si>
  <si>
    <t>préparation de sources</t>
  </si>
  <si>
    <t>jean aupiais</t>
  </si>
  <si>
    <t>olivier peron</t>
  </si>
  <si>
    <t>philippe eudes</t>
  </si>
  <si>
    <t>nicolas dufour</t>
  </si>
  <si>
    <t>benoit sabot</t>
  </si>
  <si>
    <t>mireille le guennec</t>
  </si>
  <si>
    <t>1/2 journée</t>
  </si>
  <si>
    <t>ORANO La Hague</t>
  </si>
  <si>
    <t>1 journée</t>
  </si>
  <si>
    <t>ANDRA La Hague</t>
  </si>
  <si>
    <t>Histoire de la radioactivité</t>
  </si>
  <si>
    <t>christine thobie / mireille le guennec</t>
  </si>
  <si>
    <t>cyrille alliot</t>
  </si>
  <si>
    <t>HPLC - CPG</t>
  </si>
  <si>
    <t>steven renault</t>
  </si>
  <si>
    <t>chromato ionique</t>
  </si>
  <si>
    <t>FFF</t>
  </si>
  <si>
    <t>sandrine huclier</t>
  </si>
  <si>
    <t>résines échangeuses d'ions</t>
  </si>
  <si>
    <t>électrophorèse capilaire</t>
  </si>
  <si>
    <t>couplage microscopie - Raman</t>
  </si>
  <si>
    <t>bernard humbert</t>
  </si>
  <si>
    <t>Fluorescence-Phosphorescence</t>
  </si>
  <si>
    <t>Fluorimétrie laser résolue en tps</t>
  </si>
  <si>
    <t>spectro atomique</t>
  </si>
  <si>
    <t>spectro de masse</t>
  </si>
  <si>
    <t>bruno le bizec</t>
  </si>
  <si>
    <t>régressions linéaires simples</t>
  </si>
  <si>
    <t>béatrice lalère</t>
  </si>
  <si>
    <t>problématiques de métrologie chimique</t>
  </si>
  <si>
    <t>problématiques de métrologie nucléaire</t>
  </si>
  <si>
    <t xml:space="preserve">plans d'expériences </t>
  </si>
  <si>
    <t>dominique vailhen</t>
  </si>
  <si>
    <t>Total</t>
  </si>
  <si>
    <t>+ 150h projet tuteuré</t>
  </si>
  <si>
    <t>2023-2024 : Promotion 8</t>
  </si>
  <si>
    <t>Benjamin</t>
  </si>
  <si>
    <t>Naval Group - Bouguenais</t>
  </si>
  <si>
    <t>Lila</t>
  </si>
  <si>
    <t>Sébastien</t>
  </si>
  <si>
    <t>Charline</t>
  </si>
  <si>
    <t>Anaïs</t>
  </si>
  <si>
    <t>CEA - Valduc</t>
  </si>
  <si>
    <t>Hervé SAS - Juigné des Moutiers</t>
  </si>
  <si>
    <t>EDF - Flamanville</t>
  </si>
  <si>
    <t>Eurofins - Nantes</t>
  </si>
  <si>
    <t>Lucas</t>
  </si>
  <si>
    <t>Alan</t>
  </si>
  <si>
    <t>Thomas</t>
  </si>
  <si>
    <t>Chloé</t>
  </si>
  <si>
    <t>Nolwenn</t>
  </si>
  <si>
    <t>NalcoEcolab - Donges</t>
  </si>
  <si>
    <t>SARPI Véolia - Limay</t>
  </si>
  <si>
    <t>ARMOR - La Chevrolière</t>
  </si>
  <si>
    <t>Laura</t>
  </si>
  <si>
    <t>Alexandre</t>
  </si>
  <si>
    <t>Yanna</t>
  </si>
  <si>
    <t>Eléonore</t>
  </si>
  <si>
    <t>Delphine</t>
  </si>
  <si>
    <t>PROGECAT - Loudun</t>
  </si>
  <si>
    <t>Base Opérationnelle de l'Iles Longue - Crozon</t>
  </si>
  <si>
    <t>EHESP - Rennes</t>
  </si>
  <si>
    <t>Arc'Antique - Nantes</t>
  </si>
  <si>
    <t>BARRE</t>
  </si>
  <si>
    <t>Victoria</t>
  </si>
  <si>
    <t>victoria.barre232@icloud.com</t>
  </si>
  <si>
    <t>0783470376</t>
  </si>
  <si>
    <t>KRABIS</t>
  </si>
  <si>
    <t>Souhela</t>
  </si>
  <si>
    <t>souhela.kbs@gmail.com</t>
  </si>
  <si>
    <t>0758082106</t>
  </si>
  <si>
    <t>BTS chimie ETSCO - Angers</t>
  </si>
  <si>
    <t>Soutenances promo précédente : mercredi 30 août 2023, salle 100</t>
  </si>
  <si>
    <t>Soutenances promo précédente : jeudi 31 août 2023, salle 100</t>
  </si>
  <si>
    <t>norme à 10</t>
  </si>
  <si>
    <r>
      <t xml:space="preserve">rentrée en formation / début des cours le lundi 11 septembre (semaine 37) </t>
    </r>
    <r>
      <rPr>
        <b/>
        <u val="single"/>
        <sz val="14"/>
        <color indexed="10"/>
        <rFont val="Arial"/>
        <family val="2"/>
      </rPr>
      <t>MAIS soutenances de la promotion sortante les 30-31 août et 1er septembre</t>
    </r>
  </si>
  <si>
    <r>
      <t xml:space="preserve">Mercredi     </t>
    </r>
    <r>
      <rPr>
        <b/>
        <sz val="10"/>
        <color indexed="10"/>
        <rFont val="Arial"/>
        <family val="2"/>
      </rPr>
      <t>FERIE</t>
    </r>
  </si>
  <si>
    <t>interruption de cours des formations générales</t>
  </si>
  <si>
    <t>PRIEUR</t>
  </si>
  <si>
    <t>Cécile</t>
  </si>
  <si>
    <t>cecile.p2003@gmail.com</t>
  </si>
  <si>
    <t>0768777080</t>
  </si>
  <si>
    <t>PRUD'HOMME</t>
  </si>
  <si>
    <t>Mathieu</t>
  </si>
  <si>
    <t>mathieu44.prudhomme@gmail.com</t>
  </si>
  <si>
    <t>0768521536</t>
  </si>
  <si>
    <t>DELCOMMUNE</t>
  </si>
  <si>
    <t>Agathe</t>
  </si>
  <si>
    <t>agathe.delcommune@gmail.com</t>
  </si>
  <si>
    <t>0778134604</t>
  </si>
  <si>
    <t>BTS métiers de la chimie - Montluçon</t>
  </si>
  <si>
    <t>BTS métiers de la chimie ETSCO - Angers</t>
  </si>
  <si>
    <t>BTS métiers de la chimie - Nantes</t>
  </si>
  <si>
    <t>BTSA Anabiotech - Fontenay le Comte</t>
  </si>
  <si>
    <t>DUT mesures phys -  Lannion + L2 Chimie - Brest</t>
  </si>
  <si>
    <t>ROBINET</t>
  </si>
  <si>
    <t>paul.robinet@live.fr</t>
  </si>
  <si>
    <t>0609182120</t>
  </si>
  <si>
    <t>FOREST</t>
  </si>
  <si>
    <t>Noëline</t>
  </si>
  <si>
    <t>noeline.forest44@gmail.com</t>
  </si>
  <si>
    <t>0686916634</t>
  </si>
  <si>
    <t>L'HELGOUALCH</t>
  </si>
  <si>
    <t>Célio</t>
  </si>
  <si>
    <t>celiolhelgoualch@hotmail.fr</t>
  </si>
  <si>
    <t>0761633531</t>
  </si>
  <si>
    <t>DUT mesures physiques - Lannion + L2 PC - Le Mans</t>
  </si>
  <si>
    <t>sylvie avril</t>
  </si>
  <si>
    <t>hybridation /EAD</t>
  </si>
  <si>
    <t>rédaction compte-rendu</t>
  </si>
  <si>
    <t>* Cybersécurité et protection des données</t>
  </si>
  <si>
    <t>XLP5CU010</t>
  </si>
  <si>
    <t>XLP5CU020</t>
  </si>
  <si>
    <t>XLP5CU030</t>
  </si>
  <si>
    <t>XLP5CU040</t>
  </si>
  <si>
    <t>XLP6CU010</t>
  </si>
  <si>
    <t>XLP6CU020</t>
  </si>
  <si>
    <r>
      <rPr>
        <b/>
        <sz val="10"/>
        <rFont val="Arial"/>
        <family val="2"/>
      </rPr>
      <t>14h-17h :</t>
    </r>
    <r>
      <rPr>
        <sz val="10"/>
        <rFont val="Arial"/>
        <family val="2"/>
      </rPr>
      <t xml:space="preserve"> TP analyse de données expérimentales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 xml:space="preserve">salle info I121 </t>
    </r>
  </si>
  <si>
    <t>prévoir repas</t>
  </si>
  <si>
    <r>
      <rPr>
        <b/>
        <sz val="10"/>
        <rFont val="Arial"/>
        <family val="2"/>
      </rPr>
      <t>8h-10h + 10h15-12h15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</si>
  <si>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14h-16h + 16h15-18h15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</si>
  <si>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14h-15h30 + 15h45-17h15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</si>
  <si>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t xml:space="preserve">3 enseignants </t>
    </r>
    <r>
      <rPr>
        <i/>
        <sz val="10"/>
        <color indexed="30"/>
        <rFont val="Arial"/>
        <family val="2"/>
      </rPr>
      <t>par grpe de 6</t>
    </r>
    <r>
      <rPr>
        <b/>
        <sz val="10"/>
        <color indexed="30"/>
        <rFont val="Arial"/>
        <family val="2"/>
      </rPr>
      <t>, cyrille, sandrine, marie</t>
    </r>
  </si>
  <si>
    <t>* voir pr une conf métro en passant mes EAD à 2h chq</t>
  </si>
  <si>
    <t>=&gt; Kévin ou Thomas</t>
  </si>
  <si>
    <t>évaluations théorie</t>
  </si>
  <si>
    <t>évaluations TP</t>
  </si>
  <si>
    <t>évaluations ETA</t>
  </si>
  <si>
    <t>départ pour Cherbourg / XLP5CE026</t>
  </si>
  <si>
    <t>ORANO La Hague / XLP5CE026</t>
  </si>
  <si>
    <t>XLP5CE041</t>
  </si>
  <si>
    <t>XLP5CE042</t>
  </si>
  <si>
    <t>XLP5CE043</t>
  </si>
  <si>
    <t>XLP5CE044</t>
  </si>
  <si>
    <t>XLP5CE045</t>
  </si>
  <si>
    <t>XLP5CE011</t>
  </si>
  <si>
    <t>XLP5CE012</t>
  </si>
  <si>
    <t>XLP5CE013</t>
  </si>
  <si>
    <t>XLP5CE014</t>
  </si>
  <si>
    <t>XLP5CE015</t>
  </si>
  <si>
    <t>XLP5CE016</t>
  </si>
  <si>
    <t>XLP5CE017</t>
  </si>
  <si>
    <t>XLP5CE021</t>
  </si>
  <si>
    <t>XLP5CE022</t>
  </si>
  <si>
    <t>XLP5CE023</t>
  </si>
  <si>
    <t>XLP5CE024</t>
  </si>
  <si>
    <t>XLP5CE025</t>
  </si>
  <si>
    <t>XLP5CE026</t>
  </si>
  <si>
    <t>XLP5CE027</t>
  </si>
  <si>
    <t>XLP5CE028</t>
  </si>
  <si>
    <t>XLP5CE029</t>
  </si>
  <si>
    <t>XLP5CE031</t>
  </si>
  <si>
    <t>XLP5CE032</t>
  </si>
  <si>
    <t>XLP5CE033</t>
  </si>
  <si>
    <t>XLP5CE034</t>
  </si>
  <si>
    <t>XLP5CE037</t>
  </si>
  <si>
    <t>XLP5CE035</t>
  </si>
  <si>
    <t>XLP5CE036</t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</si>
  <si>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pixa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</si>
  <si>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Lab/sciences</t>
    </r>
  </si>
  <si>
    <r>
      <rPr>
        <b/>
        <sz val="10"/>
        <rFont val="Arial"/>
        <family val="2"/>
      </rPr>
      <t>9h-11h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pixa</t>
    </r>
  </si>
  <si>
    <t>Anne Laure Nivesse</t>
  </si>
  <si>
    <t>COBAR</t>
  </si>
  <si>
    <t>L3 CBG Dakar + L3P techniques d'analyses chimiques et biologique Lorient/Dakar</t>
  </si>
  <si>
    <t>Eurofins Analyses pour le Bâtiment Ouest - Nantes</t>
  </si>
  <si>
    <r>
      <rPr>
        <b/>
        <sz val="10"/>
        <rFont val="Arial"/>
        <family val="2"/>
      </rPr>
      <t>13h45-15h15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43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</si>
  <si>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</si>
  <si>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</si>
  <si>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</si>
  <si>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9h30-11h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</si>
  <si>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48</t>
    </r>
  </si>
  <si>
    <r>
      <t>8h-10h</t>
    </r>
    <r>
      <rPr>
        <sz val="10"/>
        <rFont val="Arial"/>
        <family val="2"/>
      </rPr>
      <t xml:space="preserve"> : électrochimie (</t>
    </r>
    <r>
      <rPr>
        <b/>
        <sz val="10"/>
        <rFont val="Arial"/>
        <family val="2"/>
      </rPr>
      <t>XLP5CE032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</si>
  <si>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2"/>
      </rPr>
      <t xml:space="preserve"> gestion de projet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>) / L. Labbé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</si>
  <si>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11h-12h30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</si>
  <si>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t xml:space="preserve">9h30-10h45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</si>
  <si>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11h-12h20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</si>
  <si>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13h45-15h15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</si>
  <si>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</si>
  <si>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</si>
  <si>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</si>
  <si>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9h30-11h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</si>
  <si>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</si>
  <si>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t>8h-10h</t>
    </r>
    <r>
      <rPr>
        <sz val="10"/>
        <rFont val="Arial"/>
        <family val="2"/>
      </rPr>
      <t xml:space="preserve"> : électrochimie (</t>
    </r>
    <r>
      <rPr>
        <b/>
        <sz val="10"/>
        <rFont val="Arial"/>
        <family val="2"/>
      </rPr>
      <t>XLP5CE032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</si>
  <si>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2"/>
      </rPr>
      <t xml:space="preserve"> gestion de projet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>) / L. Labbé -</t>
    </r>
    <r>
      <rPr>
        <sz val="10"/>
        <color indexed="10"/>
        <rFont val="Arial"/>
        <family val="2"/>
      </rPr>
      <t xml:space="preserve"> salle 48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</si>
  <si>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</si>
  <si>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9h30-10h50 :</t>
    </r>
    <r>
      <rPr>
        <sz val="10"/>
        <rFont val="Arial"/>
        <family val="2"/>
      </rPr>
      <t xml:space="preserve">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</si>
  <si>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t xml:space="preserve">9h30-10h45 + 11h-12h15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</si>
  <si>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chimie des solutions Thème 1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îlots U7 (badge)</t>
    </r>
  </si>
  <si>
    <r>
      <t>10h15-12h15</t>
    </r>
    <r>
      <rPr>
        <sz val="10"/>
        <rFont val="Arial"/>
        <family val="2"/>
      </rPr>
      <t xml:space="preserve"> : résines échangeuses d'ions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</si>
  <si>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2  (</t>
    </r>
    <r>
      <rPr>
        <b/>
        <sz val="10"/>
        <rFont val="Arial"/>
        <family val="2"/>
      </rPr>
      <t>XLP5CE0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</si>
  <si>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t xml:space="preserve">9h30-10h45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48</t>
    </r>
  </si>
  <si>
    <r>
      <t>14h-16h</t>
    </r>
    <r>
      <rPr>
        <sz val="10"/>
        <rFont val="Arial"/>
        <family val="2"/>
      </rPr>
      <t xml:space="preserve"> : résines échangeuses d'ions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</si>
  <si>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Connaissance de l'entreprise (XLP5CE014) / F. Tournes (consultant)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</si>
  <si>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3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</si>
  <si>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4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</si>
  <si>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</si>
  <si>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</si>
  <si>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chimie des solutions Thème 4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îlots U7 (badge)</t>
    </r>
  </si>
  <si>
    <r>
      <rPr>
        <b/>
        <sz val="10"/>
        <rFont val="Arial"/>
        <family val="2"/>
      </rPr>
      <t>10h30-12h30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</si>
  <si>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9h-12h30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</si>
  <si>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9h30-10h50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</si>
  <si>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X31MC12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</si>
  <si>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0"/>
      </rPr>
      <t xml:space="preserve"> cartes de contrôles (</t>
    </r>
    <r>
      <rPr>
        <b/>
        <sz val="10"/>
        <rFont val="Arial"/>
        <family val="2"/>
      </rPr>
      <t>XLP5CE041</t>
    </r>
    <r>
      <rPr>
        <sz val="10"/>
        <rFont val="Arial"/>
        <family val="0"/>
      </rPr>
      <t xml:space="preserve">) / Y. Kergadallan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</si>
  <si>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13h30-15h30 + 15h45-17h45 :</t>
    </r>
    <r>
      <rPr>
        <sz val="10"/>
        <rFont val="Arial"/>
        <family val="0"/>
      </rPr>
      <t xml:space="preserve"> échantillonnage et prélevements… (</t>
    </r>
    <r>
      <rPr>
        <b/>
        <sz val="10"/>
        <rFont val="Arial"/>
        <family val="2"/>
      </rPr>
      <t>XLP5CE021</t>
    </r>
    <r>
      <rPr>
        <sz val="10"/>
        <rFont val="Arial"/>
        <family val="0"/>
      </rPr>
      <t xml:space="preserve">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</si>
  <si>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 xml:space="preserve">8h-9h : </t>
    </r>
    <r>
      <rPr>
        <sz val="10"/>
        <rFont val="Arial"/>
        <family val="2"/>
      </rPr>
      <t xml:space="preserve">cartes de contrôles (XLP5CE041)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</si>
  <si>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9h15-10h45 + 11h-12h30 :</t>
    </r>
    <r>
      <rPr>
        <sz val="10"/>
        <rFont val="Arial"/>
        <family val="0"/>
      </rPr>
      <t xml:space="preserve"> scintillation liquide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</si>
  <si>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13h45-15h15 + 15h30-17h :</t>
    </r>
    <r>
      <rPr>
        <sz val="10"/>
        <rFont val="Arial"/>
        <family val="0"/>
      </rPr>
      <t xml:space="preserve"> scintillation liquide (</t>
    </r>
    <r>
      <rPr>
        <b/>
        <sz val="10"/>
        <rFont val="Arial"/>
        <family val="2"/>
      </rPr>
      <t>XLP5CE025</t>
    </r>
    <r>
      <rPr>
        <sz val="10"/>
        <rFont val="Arial"/>
        <family val="0"/>
      </rPr>
      <t xml:space="preserve">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</si>
  <si>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11h10-12h10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</si>
  <si>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t>14h-16h</t>
    </r>
    <r>
      <rPr>
        <sz val="10"/>
        <rFont val="Arial"/>
        <family val="2"/>
      </rPr>
      <t xml:space="preserve"> : spectrométrie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</si>
  <si>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16h15-18h15 :</t>
    </r>
    <r>
      <rPr>
        <sz val="10"/>
        <rFont val="Arial"/>
        <family val="2"/>
      </rPr>
      <t xml:space="preserve"> fluorescence laser résolue en tps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48</t>
    </r>
  </si>
  <si>
    <r>
      <t>8h-9h</t>
    </r>
    <r>
      <rPr>
        <sz val="10"/>
        <rFont val="Arial"/>
        <family val="2"/>
      </rPr>
      <t xml:space="preserve"> : spectrométrie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E</t>
    </r>
  </si>
  <si>
    <r>
      <t>10h30-12h30 :</t>
    </r>
    <r>
      <rPr>
        <sz val="10"/>
        <rFont val="Arial"/>
        <family val="2"/>
      </rPr>
      <t xml:space="preserve"> scintillation liquide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</si>
  <si>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Conférence SERS (</t>
    </r>
    <r>
      <rPr>
        <b/>
        <sz val="10"/>
        <rFont val="Arial"/>
        <family val="2"/>
      </rPr>
      <t>XLPCE037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48</t>
    </r>
  </si>
  <si>
    <r>
      <t>9h40-12h40</t>
    </r>
    <r>
      <rPr>
        <sz val="10"/>
        <rFont val="Arial"/>
        <family val="0"/>
      </rPr>
      <t xml:space="preserve"> : TP chromato </t>
    </r>
    <r>
      <rPr>
        <b/>
        <sz val="10"/>
        <rFont val="Arial"/>
        <family val="2"/>
      </rPr>
      <t>(XLP5CE033)</t>
    </r>
    <r>
      <rPr>
        <sz val="10"/>
        <rFont val="Arial"/>
        <family val="0"/>
      </rPr>
      <t xml:space="preserve"> / S. Renault - </t>
    </r>
    <r>
      <rPr>
        <sz val="10"/>
        <color indexed="10"/>
        <rFont val="Arial"/>
        <family val="2"/>
      </rPr>
      <t>salle TP chimie physique 1 bâtiment 2</t>
    </r>
  </si>
  <si>
    <r>
      <t>14h-17h</t>
    </r>
    <r>
      <rPr>
        <sz val="10"/>
        <rFont val="Arial"/>
        <family val="0"/>
      </rPr>
      <t xml:space="preserve"> : TP chromato </t>
    </r>
    <r>
      <rPr>
        <b/>
        <sz val="10"/>
        <rFont val="Arial"/>
        <family val="2"/>
      </rPr>
      <t>(XLP5CE033)</t>
    </r>
    <r>
      <rPr>
        <sz val="10"/>
        <rFont val="Arial"/>
        <family val="0"/>
      </rPr>
      <t xml:space="preserve"> / S. Renault - </t>
    </r>
    <r>
      <rPr>
        <sz val="10"/>
        <color indexed="10"/>
        <rFont val="Arial"/>
        <family val="2"/>
      </rPr>
      <t>salle TP chimie physique 1 bâtiment 2</t>
    </r>
  </si>
  <si>
    <r>
      <rPr>
        <b/>
        <sz val="10"/>
        <rFont val="Arial"/>
        <family val="2"/>
      </rPr>
      <t>14h-16h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/ M. Le Guennec - </t>
    </r>
    <r>
      <rPr>
        <sz val="10"/>
        <color indexed="10"/>
        <rFont val="Arial"/>
        <family val="2"/>
      </rPr>
      <t>salle 48</t>
    </r>
  </si>
  <si>
    <t>Lundi 2 octobre : projet tuteuré livrable 1 : GANTT de début de projet</t>
  </si>
  <si>
    <t>jeudi 9 novembre : projet tuteuré livrable 2 : Gabarits de réunions</t>
  </si>
  <si>
    <t>jeudi 14 décembre : projet tuteuré livrable 3 : Plan détaillé du rapport + GANTT ajusté si nécessaire</t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</si>
  <si>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</si>
  <si>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</si>
  <si>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îlots U7 (badge)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</si>
  <si>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EAD Thème 1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</si>
  <si>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t>Naval Group Cherbourg / XLP5CE026</t>
  </si>
  <si>
    <t>retour à Nantes / XLP5CE026</t>
  </si>
  <si>
    <t>ANDRA La Hague / XLP5CE026</t>
  </si>
  <si>
    <t>Naval Group Cherbourg</t>
  </si>
  <si>
    <t>CEA Saclay</t>
  </si>
  <si>
    <t>Sandrine ?</t>
  </si>
  <si>
    <t>CARSO-CAE - Rennes</t>
  </si>
  <si>
    <r>
      <rPr>
        <b/>
        <sz val="10"/>
        <rFont val="Arial"/>
        <family val="2"/>
      </rPr>
      <t>10h30-11h50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05</t>
    </r>
  </si>
  <si>
    <r>
      <t>14h-16h</t>
    </r>
    <r>
      <rPr>
        <sz val="10"/>
        <rFont val="Arial"/>
        <family val="2"/>
      </rPr>
      <t xml:space="preserve"> : conférence DGSI* (</t>
    </r>
    <r>
      <rPr>
        <b/>
        <sz val="10"/>
        <rFont val="Arial"/>
        <family val="2"/>
      </rPr>
      <t>XLP5CE016</t>
    </r>
    <r>
      <rPr>
        <sz val="10"/>
        <rFont val="Arial"/>
        <family val="2"/>
      </rPr>
      <t xml:space="preserve">) / O. Perpenat - </t>
    </r>
    <r>
      <rPr>
        <sz val="10"/>
        <color indexed="10"/>
        <rFont val="Arial"/>
        <family val="2"/>
      </rPr>
      <t>salle 43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</si>
  <si>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48</t>
    </r>
  </si>
  <si>
    <r>
      <rPr>
        <b/>
        <sz val="10"/>
        <rFont val="Arial"/>
        <family val="2"/>
      </rPr>
      <t>14h30-16h + 16h15-17h45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</si>
  <si>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15h30-17h : chimie des solutions (XLP5CE031) / C. Thobie - salle 02</t>
  </si>
  <si>
    <t>9h30-11h : chromato (XLP5CE033) / S. Renault - salle 04</t>
  </si>
  <si>
    <r>
      <rPr>
        <b/>
        <sz val="10"/>
        <rFont val="Arial"/>
        <family val="2"/>
      </rPr>
      <t>9h15-10h15 :</t>
    </r>
    <r>
      <rPr>
        <sz val="10"/>
        <rFont val="Arial"/>
        <family val="2"/>
      </rPr>
      <t xml:space="preserve"> fluorescence laser résolue en tps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E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</si>
  <si>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îlots 210 (badge)</t>
    </r>
  </si>
  <si>
    <t>huis-clos</t>
  </si>
  <si>
    <t>Soutenances promo précédente : vendredi 1er septembre 2023, salle visio 204</t>
  </si>
  <si>
    <r>
      <rPr>
        <b/>
        <sz val="10"/>
        <rFont val="Arial"/>
        <family val="2"/>
      </rPr>
      <t>14h-16h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îlots U7 (badge)</t>
    </r>
  </si>
  <si>
    <t>CHOMAUD Aurélie</t>
  </si>
  <si>
    <t>oui</t>
  </si>
  <si>
    <t>VIAUD Emilie</t>
  </si>
  <si>
    <t>emilie.garnier@ftfr.eurofins.com</t>
  </si>
  <si>
    <t>PELE MEZIANI Charlène</t>
  </si>
  <si>
    <t>charlene.pele-meziani@loire-atlantique.fr</t>
  </si>
  <si>
    <t>S. Huclier + M. Le Guennec</t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</si>
  <si>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visio U3 (badge)</t>
    </r>
  </si>
  <si>
    <t>Eurofins NDSC Chimie Alimentaire - Nantes</t>
  </si>
  <si>
    <t>CREVET Christophe</t>
  </si>
  <si>
    <t>christophe.crevet@ecolab.com</t>
  </si>
  <si>
    <t>VETEAU Julien</t>
  </si>
  <si>
    <t>Julien.veteau@etfr.eurofins.com</t>
  </si>
  <si>
    <t>BELLOEIL Eddy</t>
  </si>
  <si>
    <t>eddy.belloeil@etfr.eurofins.com</t>
  </si>
  <si>
    <r>
      <rPr>
        <b/>
        <sz val="10"/>
        <rFont val="Arial"/>
        <family val="2"/>
      </rPr>
      <t>14h-15h20 :</t>
    </r>
    <r>
      <rPr>
        <sz val="10"/>
        <rFont val="Arial"/>
        <family val="2"/>
      </rPr>
      <t xml:space="preserve"> réunion d'information CFA FORMASUP  - </t>
    </r>
    <r>
      <rPr>
        <sz val="10"/>
        <color indexed="10"/>
        <rFont val="Arial"/>
        <family val="2"/>
      </rPr>
      <t>amphi D</t>
    </r>
  </si>
  <si>
    <r>
      <rPr>
        <b/>
        <sz val="10"/>
        <rFont val="Arial"/>
        <family val="2"/>
      </rPr>
      <t>8h30-10h</t>
    </r>
    <r>
      <rPr>
        <sz val="10"/>
        <rFont val="Arial"/>
        <family val="2"/>
      </rPr>
      <t xml:space="preserve"> : réunion de rentrée / M. Le Guennec, C. Thobie - </t>
    </r>
    <r>
      <rPr>
        <sz val="10"/>
        <color indexed="10"/>
        <rFont val="Arial"/>
        <family val="2"/>
      </rPr>
      <t>salle 05</t>
    </r>
  </si>
  <si>
    <r>
      <rPr>
        <b/>
        <sz val="10"/>
        <rFont val="Arial"/>
        <family val="2"/>
      </rPr>
      <t>16h15-18h15</t>
    </r>
    <r>
      <rPr>
        <sz val="10"/>
        <rFont val="Arial"/>
        <family val="0"/>
      </rPr>
      <t xml:space="preserve"> : EAD Thème 0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</si>
  <si>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17h-18h20 :</t>
    </r>
    <r>
      <rPr>
        <sz val="10"/>
        <rFont val="Arial"/>
        <family val="2"/>
      </rPr>
      <t xml:space="preserve"> réunion d'information FOCAL - </t>
    </r>
    <r>
      <rPr>
        <sz val="10"/>
        <color indexed="10"/>
        <rFont val="Arial"/>
        <family val="2"/>
      </rPr>
      <t>amphi D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</si>
  <si>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2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S. Huclier - </t>
    </r>
    <r>
      <rPr>
        <sz val="10"/>
        <color indexed="10"/>
        <rFont val="Arial"/>
        <family val="2"/>
      </rPr>
      <t>salle îlots U7 (badge)</t>
    </r>
  </si>
  <si>
    <r>
      <t xml:space="preserve">9h30-11h30 </t>
    </r>
    <r>
      <rPr>
        <sz val="10"/>
        <rFont val="Arial"/>
        <family val="2"/>
      </rPr>
      <t>: chromato ionique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04</t>
    </r>
  </si>
  <si>
    <t>13h-15h : UV-visible + IR-Raman (XLP5CE034) / M. Le Guennec - salle 100</t>
  </si>
  <si>
    <r>
      <rPr>
        <b/>
        <sz val="10"/>
        <rFont val="Arial"/>
        <family val="2"/>
      </rPr>
      <t>15h15-18h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200 (badge)</t>
    </r>
  </si>
  <si>
    <t>NAVAL GROUP Cherbourg</t>
  </si>
  <si>
    <t>Nalco EcoLab - Donges</t>
  </si>
  <si>
    <t>BRUCHET Hugues</t>
  </si>
  <si>
    <t>hugues.bruchet@cea.fr</t>
  </si>
  <si>
    <r>
      <rPr>
        <b/>
        <sz val="10"/>
        <rFont val="Arial"/>
        <family val="2"/>
      </rPr>
      <t>9h30-11h30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</si>
  <si>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t>8- sénégalaise</t>
  </si>
  <si>
    <t>hugues delorme</t>
  </si>
  <si>
    <t>laetitia kasprzak</t>
  </si>
  <si>
    <r>
      <rPr>
        <b/>
        <sz val="10"/>
        <rFont val="Arial"/>
        <family val="2"/>
      </rPr>
      <t>13h50-15h10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</si>
  <si>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15h20-16h50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</si>
  <si>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i/>
        <strike/>
        <sz val="10"/>
        <rFont val="Arial"/>
        <family val="2"/>
      </rPr>
      <t>sophie douchin</t>
    </r>
    <r>
      <rPr>
        <b/>
        <i/>
        <sz val="10"/>
        <rFont val="Arial"/>
        <family val="2"/>
      </rPr>
      <t xml:space="preserve"> Hadrien Zulian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</si>
  <si>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Connaissance de l'entreprise (XLP5CE014) / F. Tournes (consultant) - </t>
    </r>
    <r>
      <rPr>
        <sz val="10"/>
        <color indexed="10"/>
        <rFont val="Arial"/>
        <family val="2"/>
      </rPr>
      <t>délocalisé aux Prud'hommes</t>
    </r>
  </si>
  <si>
    <t>Lundi</t>
  </si>
  <si>
    <r>
      <rPr>
        <b/>
        <sz val="10"/>
        <rFont val="Arial"/>
        <family val="2"/>
      </rPr>
      <t>11h30-13h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</si>
  <si>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</si>
  <si>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14h-15h30 + 15h45-17h15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</si>
  <si>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 xml:space="preserve">8h-10h + 10h15-12h15 </t>
    </r>
    <r>
      <rPr>
        <sz val="10"/>
        <rFont val="Arial"/>
        <family val="2"/>
      </rPr>
      <t>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</si>
  <si>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8h-10h + 15h15-11h45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</si>
  <si>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14h-15h30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</si>
  <si>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t>marame.cobar@gmail.com</t>
  </si>
  <si>
    <t>Mareme</t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</si>
  <si>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</si>
  <si>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t>* Histoire de la radioactivité</t>
  </si>
  <si>
    <t>* La radioactivité dans notre vie quotidienne</t>
  </si>
  <si>
    <t>SOUTENANCES</t>
  </si>
  <si>
    <t>demande</t>
  </si>
  <si>
    <t>présence MA ?</t>
  </si>
  <si>
    <t>repas MA ?</t>
  </si>
  <si>
    <t>repas apprenti ?</t>
  </si>
  <si>
    <t>huis-clos ?</t>
  </si>
  <si>
    <t>rapport confidentiel ?</t>
  </si>
  <si>
    <t>jury</t>
  </si>
  <si>
    <t>2023-2024 : Promotion 87</t>
  </si>
  <si>
    <t>salle ?</t>
  </si>
  <si>
    <t>tuteur</t>
  </si>
  <si>
    <t>RQ.</t>
  </si>
  <si>
    <t>vendredi 6 sept.</t>
  </si>
  <si>
    <t>jeudi 5 sept.</t>
  </si>
  <si>
    <t>Paul-Thaddeüs</t>
  </si>
  <si>
    <t>+ 30mn</t>
  </si>
  <si>
    <t xml:space="preserve"> + 30 mn</t>
  </si>
  <si>
    <t>+ 20 mn</t>
  </si>
  <si>
    <r>
      <rPr>
        <b/>
        <sz val="10"/>
        <rFont val="Arial"/>
        <family val="2"/>
      </rPr>
      <t xml:space="preserve">10h15-12h15 : </t>
    </r>
    <r>
      <rPr>
        <sz val="10"/>
        <rFont val="Arial"/>
        <family val="0"/>
      </rPr>
      <t>chimie des solutions Thème 2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</si>
  <si>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</si>
  <si>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t>16h15-17h45 : CC C. Alliot - salle 02</t>
  </si>
  <si>
    <t>électrophorèse capillaire</t>
  </si>
  <si>
    <r>
      <rPr>
        <b/>
        <sz val="10"/>
        <color indexed="9"/>
        <rFont val="Arial"/>
        <family val="2"/>
      </rPr>
      <t>13h50-15h20</t>
    </r>
    <r>
      <rPr>
        <sz val="10"/>
        <color indexed="9"/>
        <rFont val="Arial"/>
        <family val="2"/>
      </rPr>
      <t xml:space="preserve"> : CC1 stats (</t>
    </r>
    <r>
      <rPr>
        <b/>
        <sz val="10"/>
        <color indexed="9"/>
        <rFont val="Arial"/>
        <family val="2"/>
      </rPr>
      <t>XLP5CE041</t>
    </r>
    <r>
      <rPr>
        <sz val="10"/>
        <color indexed="9"/>
        <rFont val="Arial"/>
        <family val="2"/>
      </rPr>
      <t>) / M. Le Guennec - salle B</t>
    </r>
  </si>
  <si>
    <t>0776637096</t>
  </si>
  <si>
    <r>
      <rPr>
        <b/>
        <sz val="10"/>
        <rFont val="Arial"/>
        <family val="2"/>
      </rPr>
      <t>10h15-11h35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</si>
  <si>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t xml:space="preserve"> + 40 mn</t>
  </si>
  <si>
    <t>* Retour d'expérience en création de start-up</t>
  </si>
  <si>
    <t>* Techniques de mesures des nanomatériaux</t>
  </si>
  <si>
    <t>conférence Métrologie industrielle</t>
  </si>
  <si>
    <t>kévin hivet</t>
  </si>
  <si>
    <t>donné 2*1h hybrid° pr conf métrologie</t>
  </si>
  <si>
    <r>
      <rPr>
        <b/>
        <sz val="10"/>
        <rFont val="Arial"/>
        <family val="2"/>
      </rPr>
      <t xml:space="preserve">8h45-10h45 : </t>
    </r>
    <r>
      <rPr>
        <sz val="10"/>
        <rFont val="Arial"/>
        <family val="2"/>
      </rPr>
      <t>détecteurs à gaz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B. Sabot (LNHB) - </t>
    </r>
    <r>
      <rPr>
        <sz val="10"/>
        <color indexed="10"/>
        <rFont val="Arial"/>
        <family val="2"/>
      </rPr>
      <t>salle visio 204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</si>
  <si>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 xml:space="preserve">11h-12h : </t>
    </r>
    <r>
      <rPr>
        <sz val="10"/>
        <rFont val="Arial"/>
        <family val="2"/>
      </rPr>
      <t>incertitudes de mesures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>) / B. Sabot (LNHB) -</t>
    </r>
    <r>
      <rPr>
        <sz val="10"/>
        <color indexed="10"/>
        <rFont val="Arial"/>
        <family val="2"/>
      </rPr>
      <t xml:space="preserve"> salle visio 204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</si>
  <si>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électrophorèse capillaire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</si>
  <si>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10h15-11h15:</t>
    </r>
    <r>
      <rPr>
        <sz val="10"/>
        <rFont val="Arial"/>
        <family val="2"/>
      </rPr>
      <t xml:space="preserve"> préparation de sources (</t>
    </r>
    <r>
      <rPr>
        <b/>
        <sz val="10"/>
        <rFont val="Arial"/>
        <family val="2"/>
      </rPr>
      <t>XLP5CE021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</si>
  <si>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électrophorèse capillaire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</si>
  <si>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16h15-18h15 :</t>
    </r>
    <r>
      <rPr>
        <sz val="10"/>
        <rFont val="Arial"/>
        <family val="2"/>
      </rPr>
      <t xml:space="preserve"> dilution isotopique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</si>
  <si>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13h30-15h + 15h15-16h45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</si>
  <si>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couplages MS</t>
  </si>
  <si>
    <r>
      <rPr>
        <b/>
        <sz val="10"/>
        <rFont val="Arial"/>
        <family val="2"/>
      </rPr>
      <t>8h-11h30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</si>
  <si>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t>13h15-14h45 : physique nucléaire (XLP5CE023) / P. Eudes - salle info I040</t>
  </si>
  <si>
    <r>
      <rPr>
        <b/>
        <sz val="10"/>
        <rFont val="Arial"/>
        <family val="2"/>
      </rPr>
      <t>13h20-15h20</t>
    </r>
    <r>
      <rPr>
        <sz val="10"/>
        <rFont val="Arial"/>
        <family val="0"/>
      </rPr>
      <t xml:space="preserve"> : chimie des solutions Thème 3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</si>
  <si>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 xml:space="preserve">15h30-17h </t>
    </r>
    <r>
      <rPr>
        <sz val="10"/>
        <rFont val="Arial"/>
        <family val="2"/>
      </rPr>
      <t>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</si>
  <si>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8h15-10h15:</t>
    </r>
    <r>
      <rPr>
        <sz val="10"/>
        <rFont val="Arial"/>
        <family val="0"/>
      </rPr>
      <t xml:space="preserve">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ilots 200 (badge)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</si>
  <si>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>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200</t>
    </r>
    <r>
      <rPr>
        <sz val="10"/>
        <rFont val="Arial"/>
        <family val="2"/>
      </rPr>
      <t xml:space="preserve"> (badge)</t>
    </r>
  </si>
  <si>
    <r>
      <rPr>
        <b/>
        <sz val="10"/>
        <rFont val="Arial"/>
        <family val="2"/>
      </rPr>
      <t>15h30-16h50</t>
    </r>
    <r>
      <rPr>
        <sz val="10"/>
        <rFont val="Arial"/>
        <family val="2"/>
      </rPr>
      <t>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</si>
  <si>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t>Sandrine</t>
  </si>
  <si>
    <t>Cyrille</t>
  </si>
  <si>
    <t>Bernard</t>
  </si>
  <si>
    <t xml:space="preserve">Mireille </t>
  </si>
  <si>
    <r>
      <rPr>
        <b/>
        <sz val="10"/>
        <rFont val="Arial"/>
        <family val="2"/>
      </rPr>
      <t>11h15-12h35 :</t>
    </r>
    <r>
      <rPr>
        <sz val="10"/>
        <rFont val="Arial"/>
        <family val="2"/>
      </rPr>
      <t xml:space="preserve">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</si>
  <si>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t>8h-9h30 : CC Y. Kergadallan - salle 48</t>
  </si>
  <si>
    <t>8h-9h30 : stats (XLP5CE041) / M. Le Guennec - salle B</t>
  </si>
  <si>
    <t>en arrêt maladie =&gt; rattraper</t>
  </si>
  <si>
    <t>+2,83h réunion</t>
  </si>
  <si>
    <t>+1,33h réunion</t>
  </si>
  <si>
    <t>férié</t>
  </si>
  <si>
    <t>moy hebdo</t>
  </si>
  <si>
    <r>
      <rPr>
        <b/>
        <sz val="10"/>
        <rFont val="Arial"/>
        <family val="2"/>
      </rPr>
      <t>13h30-17h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208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</si>
  <si>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</si>
  <si>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TP reporté car fac fermée ; validé 3h travail personnel/projet tuteuré à domicile</t>
  </si>
  <si>
    <t>fait en visio car fac fermée</t>
  </si>
  <si>
    <t>huis clos</t>
  </si>
  <si>
    <r>
      <t xml:space="preserve">présence de </t>
    </r>
    <r>
      <rPr>
        <b/>
        <u val="single"/>
        <sz val="12"/>
        <rFont val="Times New Roman"/>
        <family val="1"/>
      </rPr>
      <t>tous</t>
    </r>
    <r>
      <rPr>
        <b/>
        <sz val="12"/>
        <rFont val="Times New Roman"/>
        <family val="1"/>
      </rPr>
      <t xml:space="preserve"> obligatoire (même les huis-clos)</t>
    </r>
  </si>
  <si>
    <t>13h30</t>
  </si>
  <si>
    <t>débriefing général</t>
  </si>
  <si>
    <t>emmanuelle bichon</t>
  </si>
  <si>
    <r>
      <rPr>
        <b/>
        <strike/>
        <sz val="10"/>
        <rFont val="Arial"/>
        <family val="2"/>
      </rPr>
      <t>9h-12h30</t>
    </r>
    <r>
      <rPr>
        <strike/>
        <sz val="10"/>
        <rFont val="Arial"/>
        <family val="2"/>
      </rPr>
      <t xml:space="preserve"> : TP spectro (</t>
    </r>
    <r>
      <rPr>
        <b/>
        <strike/>
        <sz val="10"/>
        <rFont val="Arial"/>
        <family val="2"/>
      </rPr>
      <t>XLP5CE034</t>
    </r>
    <r>
      <rPr>
        <strike/>
        <sz val="10"/>
        <rFont val="Arial"/>
        <family val="2"/>
      </rPr>
      <t xml:space="preserve">) / M. Le Guennec - </t>
    </r>
    <r>
      <rPr>
        <strike/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</si>
  <si>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13h30-17h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</si>
  <si>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8h-12h</t>
    </r>
    <r>
      <rPr>
        <sz val="10"/>
        <rFont val="Arial"/>
        <family val="0"/>
      </rPr>
      <t>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amphi F </t>
    </r>
  </si>
  <si>
    <t>RQ. CR des visites sous 8j au lieu de 48h</t>
  </si>
  <si>
    <t>ENTREPRISE</t>
  </si>
  <si>
    <t>* couplages MS / techniques séparatives</t>
  </si>
  <si>
    <t>Groupe A =</t>
  </si>
  <si>
    <t>Groupe B =</t>
  </si>
  <si>
    <t>Groupe C =</t>
  </si>
  <si>
    <t>grpe projet Sandrine</t>
  </si>
  <si>
    <t>grpe projet Olivier</t>
  </si>
  <si>
    <t>grpe projet Mireille</t>
  </si>
  <si>
    <t>TP Raman</t>
  </si>
  <si>
    <r>
      <rPr>
        <b/>
        <sz val="10"/>
        <rFont val="Arial"/>
        <family val="2"/>
      </rPr>
      <t xml:space="preserve">8h-11h :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grpe B</t>
    </r>
    <r>
      <rPr>
        <sz val="10"/>
        <rFont val="Arial"/>
        <family val="2"/>
      </rPr>
      <t xml:space="preserve"> / B. Humbert -</t>
    </r>
    <r>
      <rPr>
        <sz val="10"/>
        <color indexed="10"/>
        <rFont val="Arial"/>
        <family val="2"/>
      </rPr>
      <t xml:space="preserve"> IMN</t>
    </r>
  </si>
  <si>
    <t>+ 15 mn CC FFF</t>
  </si>
  <si>
    <t>+ 25mn</t>
  </si>
  <si>
    <t>* le métier de métrologue</t>
  </si>
  <si>
    <t>+ 20mn</t>
  </si>
  <si>
    <r>
      <rPr>
        <b/>
        <sz val="10"/>
        <rFont val="Arial"/>
        <family val="2"/>
      </rPr>
      <t>8h-11h30</t>
    </r>
    <r>
      <rPr>
        <sz val="10"/>
        <rFont val="Arial"/>
        <family val="2"/>
      </rPr>
      <t xml:space="preserve"> : rattrapage TP spectro sem 45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</si>
  <si>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t xml:space="preserve">13h45-15h45 </t>
    </r>
    <r>
      <rPr>
        <sz val="10"/>
        <rFont val="Arial"/>
        <family val="2"/>
      </rPr>
      <t>: chromato ionique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04</t>
    </r>
  </si>
  <si>
    <t>2h SM données à conf. couplages MS</t>
  </si>
  <si>
    <r>
      <rPr>
        <b/>
        <sz val="10"/>
        <rFont val="Arial"/>
        <family val="2"/>
      </rPr>
      <t xml:space="preserve">13h30-16h30 :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 xml:space="preserve">grpes A et C </t>
    </r>
    <r>
      <rPr>
        <sz val="10"/>
        <rFont val="Arial"/>
        <family val="2"/>
      </rPr>
      <t>/ B. Humbert -</t>
    </r>
    <r>
      <rPr>
        <sz val="10"/>
        <color indexed="10"/>
        <rFont val="Arial"/>
        <family val="2"/>
      </rPr>
      <t xml:space="preserve"> IMN</t>
    </r>
  </si>
  <si>
    <r>
      <rPr>
        <b/>
        <strike/>
        <sz val="10"/>
        <rFont val="Arial"/>
        <family val="2"/>
      </rPr>
      <t xml:space="preserve">13h30-16h30 : </t>
    </r>
    <r>
      <rPr>
        <strike/>
        <sz val="10"/>
        <rFont val="Arial"/>
        <family val="2"/>
      </rPr>
      <t>TP spectro Raman (</t>
    </r>
    <r>
      <rPr>
        <b/>
        <strike/>
        <sz val="10"/>
        <rFont val="Arial"/>
        <family val="2"/>
      </rPr>
      <t>XLP5CE034</t>
    </r>
    <r>
      <rPr>
        <strike/>
        <sz val="10"/>
        <rFont val="Arial"/>
        <family val="2"/>
      </rPr>
      <t xml:space="preserve">) </t>
    </r>
    <r>
      <rPr>
        <b/>
        <strike/>
        <sz val="10"/>
        <rFont val="Arial"/>
        <family val="2"/>
      </rPr>
      <t>grpe C</t>
    </r>
    <r>
      <rPr>
        <strike/>
        <sz val="10"/>
        <rFont val="Arial"/>
        <family val="2"/>
      </rPr>
      <t xml:space="preserve"> / B. Humbert -</t>
    </r>
    <r>
      <rPr>
        <strike/>
        <sz val="10"/>
        <color indexed="10"/>
        <rFont val="Arial"/>
        <family val="2"/>
      </rPr>
      <t xml:space="preserve"> IMN</t>
    </r>
  </si>
  <si>
    <t>vendredi 15 décembre : restitution des CR TP spectro + visites de sites</t>
  </si>
  <si>
    <r>
      <rPr>
        <b/>
        <sz val="10"/>
        <rFont val="Arial"/>
        <family val="2"/>
      </rPr>
      <t>9h-12h :</t>
    </r>
    <r>
      <rPr>
        <sz val="10"/>
        <rFont val="Arial"/>
        <family val="2"/>
      </rPr>
      <t xml:space="preserve"> formation SST (</t>
    </r>
    <r>
      <rPr>
        <b/>
        <sz val="10"/>
        <rFont val="Arial"/>
        <family val="2"/>
      </rPr>
      <t>XLP5CE015</t>
    </r>
    <r>
      <rPr>
        <sz val="10"/>
        <rFont val="Arial"/>
        <family val="2"/>
      </rPr>
      <t xml:space="preserve">) / I. Dudit - </t>
    </r>
    <r>
      <rPr>
        <sz val="10"/>
        <color indexed="10"/>
        <rFont val="Arial"/>
        <family val="2"/>
      </rPr>
      <t>salle GRANGE</t>
    </r>
  </si>
  <si>
    <r>
      <rPr>
        <b/>
        <sz val="10"/>
        <rFont val="Arial"/>
        <family val="2"/>
      </rPr>
      <t>13h-17h :</t>
    </r>
    <r>
      <rPr>
        <sz val="10"/>
        <rFont val="Arial"/>
        <family val="2"/>
      </rPr>
      <t xml:space="preserve"> formation SST (</t>
    </r>
    <r>
      <rPr>
        <b/>
        <sz val="10"/>
        <rFont val="Arial"/>
        <family val="2"/>
      </rPr>
      <t>XLP5CE015</t>
    </r>
    <r>
      <rPr>
        <sz val="10"/>
        <rFont val="Arial"/>
        <family val="2"/>
      </rPr>
      <t xml:space="preserve">) / I. Dudit - </t>
    </r>
    <r>
      <rPr>
        <sz val="10"/>
        <color indexed="10"/>
        <rFont val="Arial"/>
        <family val="2"/>
      </rPr>
      <t>salle GRANGE</t>
    </r>
  </si>
  <si>
    <r>
      <rPr>
        <b/>
        <sz val="10"/>
        <rFont val="Arial"/>
        <family val="2"/>
      </rPr>
      <t>14h-17h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</si>
  <si>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9h-12h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</si>
  <si>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14h-17h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X31MC25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</si>
  <si>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t>mercredi 14 janvier : restitution des CR TP chromato</t>
  </si>
  <si>
    <t>mettre les 2*2h restantes en présentiel</t>
  </si>
  <si>
    <t>3-1</t>
  </si>
  <si>
    <r>
      <rPr>
        <b/>
        <sz val="10"/>
        <rFont val="Arial"/>
        <family val="2"/>
      </rPr>
      <t>9h-10h30 + 10h45-12h15 :</t>
    </r>
    <r>
      <rPr>
        <sz val="10"/>
        <rFont val="Arial"/>
        <family val="2"/>
      </rPr>
      <t xml:space="preserve"> spectro de masse (XLP5CE034) / B. Le Bizec (ONIRIS) - </t>
    </r>
    <r>
      <rPr>
        <sz val="10"/>
        <color indexed="10"/>
        <rFont val="Arial"/>
        <family val="2"/>
      </rPr>
      <t>délocalisé à la Chantrerie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</si>
  <si>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sp. atomique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</si>
  <si>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9h30-10h50 + 11h-12h20 :</t>
    </r>
    <r>
      <rPr>
        <sz val="10"/>
        <rFont val="Arial"/>
        <family val="2"/>
      </rPr>
      <t xml:space="preserve">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</si>
  <si>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ilots 200 (badge)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</si>
  <si>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FFF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S. Huclier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</si>
  <si>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sp. atomique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AL. Nivesse -</t>
    </r>
    <r>
      <rPr>
        <sz val="10"/>
        <color indexed="10"/>
        <rFont val="Arial"/>
        <family val="2"/>
      </rPr>
      <t xml:space="preserve"> salle B</t>
    </r>
  </si>
  <si>
    <t>10h15-11h45 : CC J. Aupiais - salle 06</t>
  </si>
  <si>
    <r>
      <rPr>
        <b/>
        <sz val="10"/>
        <rFont val="Arial"/>
        <family val="2"/>
      </rPr>
      <t>14h-15h15 + 15h30-16h45</t>
    </r>
    <r>
      <rPr>
        <sz val="10"/>
        <rFont val="Arial"/>
        <family val="2"/>
      </rPr>
      <t xml:space="preserve"> : spectrométrie gamma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N. Dufour (CEA) - </t>
    </r>
    <r>
      <rPr>
        <sz val="10"/>
        <color indexed="10"/>
        <rFont val="Arial"/>
        <family val="2"/>
      </rPr>
      <t>salle visio 204 (badge)</t>
    </r>
  </si>
  <si>
    <r>
      <rPr>
        <b/>
        <sz val="10"/>
        <rFont val="Arial"/>
        <family val="2"/>
      </rPr>
      <t>10h15-12h: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</si>
  <si>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t>9h30-11h : CC plans d'expériences (XLP5CE043) / M. Le Guennec - salle 01</t>
  </si>
  <si>
    <t>8h30-9h : CC N. Dufour (XLP5CE025) - salle 01</t>
  </si>
  <si>
    <t>+ 10mn</t>
  </si>
  <si>
    <t>8h-9h : CC fluo et spectro atomique (XLP5CE034) / AL Nivesse - salle 03</t>
  </si>
  <si>
    <r>
      <rPr>
        <b/>
        <sz val="10"/>
        <rFont val="Arial"/>
        <family val="2"/>
      </rPr>
      <t>9h30-12h :</t>
    </r>
    <r>
      <rPr>
        <sz val="10"/>
        <rFont val="Arial"/>
        <family val="2"/>
      </rPr>
      <t xml:space="preserve"> projet tuteuré  (XLP6CE020) - </t>
    </r>
    <r>
      <rPr>
        <sz val="10"/>
        <color indexed="10"/>
        <rFont val="Arial"/>
        <family val="2"/>
      </rPr>
      <t>salle ilots 208 (badge)</t>
    </r>
  </si>
  <si>
    <r>
      <t>14h-15h30 + 15h45-17h15</t>
    </r>
    <r>
      <rPr>
        <sz val="10"/>
        <rFont val="Arial"/>
        <family val="2"/>
      </rPr>
      <t xml:space="preserve"> : validation de méthodes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 / B. Lalère (LNE) - </t>
    </r>
    <r>
      <rPr>
        <sz val="10"/>
        <color indexed="10"/>
        <rFont val="Arial"/>
        <family val="2"/>
      </rPr>
      <t>salle E</t>
    </r>
  </si>
  <si>
    <r>
      <t>8h-10h</t>
    </r>
    <r>
      <rPr>
        <sz val="10"/>
        <rFont val="Arial"/>
        <family val="2"/>
      </rPr>
      <t xml:space="preserve"> : Pbtiques de métrologie chimique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B. Lalère (LNE) - </t>
    </r>
    <r>
      <rPr>
        <sz val="10"/>
        <color indexed="10"/>
        <rFont val="Arial"/>
        <family val="2"/>
      </rPr>
      <t>salle E</t>
    </r>
  </si>
  <si>
    <r>
      <t>10h15-12h15</t>
    </r>
    <r>
      <rPr>
        <sz val="10"/>
        <rFont val="Arial"/>
        <family val="2"/>
      </rPr>
      <t xml:space="preserve"> : validation de méthodes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 / B. Lalère (LNE) - </t>
    </r>
    <r>
      <rPr>
        <sz val="10"/>
        <color indexed="10"/>
        <rFont val="Arial"/>
        <family val="2"/>
      </rPr>
      <t>salle E</t>
    </r>
  </si>
  <si>
    <r>
      <t>14h-16h</t>
    </r>
    <r>
      <rPr>
        <sz val="10"/>
        <rFont val="Arial"/>
        <family val="2"/>
      </rPr>
      <t xml:space="preserve"> : Pbtiques de métrologie chimique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B. Lalère (LNE)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</si>
  <si>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9h-11h :</t>
    </r>
    <r>
      <rPr>
        <sz val="10"/>
        <rFont val="Arial"/>
        <family val="2"/>
      </rPr>
      <t xml:space="preserve"> Conférences* (</t>
    </r>
    <r>
      <rPr>
        <b/>
        <sz val="10"/>
        <rFont val="Arial"/>
        <family val="2"/>
      </rPr>
      <t>XLP5CE016</t>
    </r>
    <r>
      <rPr>
        <sz val="10"/>
        <rFont val="Arial"/>
        <family val="2"/>
      </rPr>
      <t xml:space="preserve">) / D. Jacob (Cordouan Technologies) - </t>
    </r>
    <r>
      <rPr>
        <sz val="10"/>
        <color indexed="10"/>
        <rFont val="Arial"/>
        <family val="2"/>
      </rPr>
      <t>salle B</t>
    </r>
  </si>
  <si>
    <t>Mireille</t>
  </si>
  <si>
    <t>sandrine, bernard, mireille, cyrille</t>
  </si>
  <si>
    <t>+ philippe pr PT ?</t>
  </si>
  <si>
    <r>
      <rPr>
        <b/>
        <sz val="10"/>
        <rFont val="Arial"/>
        <family val="2"/>
      </rPr>
      <t>11h15-13h15 :</t>
    </r>
    <r>
      <rPr>
        <sz val="10"/>
        <rFont val="Arial"/>
        <family val="2"/>
      </rPr>
      <t xml:space="preserve"> Conférences* (</t>
    </r>
    <r>
      <rPr>
        <b/>
        <sz val="10"/>
        <rFont val="Arial"/>
        <family val="2"/>
      </rPr>
      <t>XLP5CE037</t>
    </r>
    <r>
      <rPr>
        <sz val="10"/>
        <rFont val="Arial"/>
        <family val="2"/>
      </rPr>
      <t xml:space="preserve">) / D. Jacob (Cordouan Technologies)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</si>
  <si>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 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</si>
  <si>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14h-17h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A, B, C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salles 48, B, D</t>
    </r>
  </si>
  <si>
    <r>
      <rPr>
        <b/>
        <sz val="10"/>
        <rFont val="Arial"/>
        <family val="2"/>
      </rPr>
      <t xml:space="preserve">14h-17h30 </t>
    </r>
    <r>
      <rPr>
        <sz val="10"/>
        <rFont val="Arial"/>
        <family val="2"/>
      </rPr>
      <t>: soutenances projets tuteurés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M. Le Guennec, O. Peron, S. Huclier, B. Humbert - </t>
    </r>
    <r>
      <rPr>
        <sz val="10"/>
        <color indexed="10"/>
        <rFont val="Arial"/>
        <family val="2"/>
      </rPr>
      <t>salle visio 204 (badge)</t>
    </r>
  </si>
  <si>
    <r>
      <rPr>
        <b/>
        <sz val="10"/>
        <rFont val="Arial"/>
        <family val="2"/>
      </rPr>
      <t>8h-9h30 + 9h45-11h15 :</t>
    </r>
    <r>
      <rPr>
        <sz val="10"/>
        <rFont val="Arial"/>
        <family val="0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V. Voisse - </t>
    </r>
    <r>
      <rPr>
        <sz val="10"/>
        <color indexed="10"/>
        <rFont val="Arial"/>
        <family val="2"/>
      </rPr>
      <t>salle 211</t>
    </r>
  </si>
  <si>
    <r>
      <rPr>
        <b/>
        <sz val="10"/>
        <rFont val="Arial"/>
        <family val="2"/>
      </rPr>
      <t>14h-16h:</t>
    </r>
    <r>
      <rPr>
        <sz val="10"/>
        <rFont val="Arial"/>
        <family val="0"/>
      </rPr>
      <t xml:space="preserve"> Conférence* (</t>
    </r>
    <r>
      <rPr>
        <b/>
        <sz val="10"/>
        <rFont val="Arial"/>
        <family val="2"/>
      </rPr>
      <t>XLP5CE037</t>
    </r>
    <r>
      <rPr>
        <sz val="10"/>
        <rFont val="Arial"/>
        <family val="0"/>
      </rPr>
      <t xml:space="preserve">) / K. Hivet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</si>
  <si>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8h-9h30 + 9h45-11h15 :</t>
    </r>
    <r>
      <rPr>
        <sz val="10"/>
        <rFont val="Arial"/>
        <family val="0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V. Voisse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</si>
  <si>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11h30-12h30 :</t>
    </r>
    <r>
      <rPr>
        <sz val="10"/>
        <rFont val="Arial"/>
        <family val="0"/>
      </rPr>
      <t xml:space="preserve"> bilan formation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</si>
  <si>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 xml:space="preserve">) / V. Voisse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</si>
  <si>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9h-10h30 + 10h45-12h15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</si>
  <si>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13h30-15h + 15h15-16h45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</si>
  <si>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13h30-14h30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</si>
  <si>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8h30-12h  :</t>
    </r>
    <r>
      <rPr>
        <sz val="10"/>
        <rFont val="Arial"/>
        <family val="2"/>
      </rPr>
      <t xml:space="preserve"> soutenances à mi-parcours (</t>
    </r>
    <r>
      <rPr>
        <b/>
        <sz val="10"/>
        <rFont val="Arial"/>
        <family val="2"/>
      </rPr>
      <t>XLP6CE010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09 </t>
    </r>
    <r>
      <rPr>
        <sz val="10"/>
        <rFont val="Arial"/>
        <family val="2"/>
      </rPr>
      <t>- B. Humbert, C. Alliot, M. Le Guennec, AL Nivesse</t>
    </r>
  </si>
  <si>
    <r>
      <rPr>
        <b/>
        <sz val="10"/>
        <rFont val="Arial"/>
        <family val="2"/>
      </rPr>
      <t>14h-16h  :</t>
    </r>
    <r>
      <rPr>
        <sz val="10"/>
        <rFont val="Arial"/>
        <family val="2"/>
      </rPr>
      <t xml:space="preserve"> soutenances à mi-parcours (</t>
    </r>
    <r>
      <rPr>
        <b/>
        <sz val="10"/>
        <rFont val="Arial"/>
        <family val="2"/>
      </rPr>
      <t>XLP6CE010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09 </t>
    </r>
    <r>
      <rPr>
        <sz val="10"/>
        <rFont val="Arial"/>
        <family val="2"/>
      </rPr>
      <t>- B. Humbert, C. Alliot, M. Le Guennec, AL Nivesse</t>
    </r>
  </si>
  <si>
    <r>
      <rPr>
        <b/>
        <strike/>
        <sz val="10"/>
        <rFont val="Arial"/>
        <family val="2"/>
      </rPr>
      <t>10h15-12h :</t>
    </r>
    <r>
      <rPr>
        <strike/>
        <sz val="10"/>
        <rFont val="Arial"/>
        <family val="2"/>
      </rPr>
      <t xml:space="preserve"> aide à l'insertion professionnelle (XLP5CE014) / L. Labbé - </t>
    </r>
    <r>
      <rPr>
        <strike/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</si>
  <si>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FFF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S. Huclier -</t>
    </r>
    <r>
      <rPr>
        <sz val="10"/>
        <color indexed="10"/>
        <rFont val="Arial"/>
        <family val="2"/>
      </rPr>
      <t xml:space="preserve"> salle D</t>
    </r>
  </si>
  <si>
    <t>rattraper ! Transformé en projet tuteuré</t>
  </si>
  <si>
    <t>8h45-9h45 : CC O. Peron - salle 02</t>
  </si>
  <si>
    <r>
      <rPr>
        <b/>
        <sz val="8"/>
        <rFont val="Arial"/>
        <family val="2"/>
      </rPr>
      <t>8h30-9h</t>
    </r>
    <r>
      <rPr>
        <sz val="8"/>
        <rFont val="Arial"/>
        <family val="2"/>
      </rPr>
      <t xml:space="preserve"> : TP nucléaire et FFF (</t>
    </r>
    <r>
      <rPr>
        <b/>
        <sz val="8"/>
        <rFont val="Arial"/>
        <family val="2"/>
      </rPr>
      <t>XLP5CE025</t>
    </r>
    <r>
      <rPr>
        <sz val="8"/>
        <rFont val="Arial"/>
        <family val="2"/>
      </rPr>
      <t>) / C. Alliot et S. Huclier -</t>
    </r>
    <r>
      <rPr>
        <sz val="8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</si>
  <si>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9h-12h</t>
    </r>
    <r>
      <rPr>
        <sz val="10"/>
        <rFont val="Arial"/>
        <family val="2"/>
      </rPr>
      <t>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</si>
  <si>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trike/>
        <sz val="10"/>
        <rFont val="Arial"/>
        <family val="2"/>
      </rPr>
      <t>14h-16h :</t>
    </r>
    <r>
      <rPr>
        <strike/>
        <sz val="10"/>
        <rFont val="Arial"/>
        <family val="2"/>
      </rPr>
      <t xml:space="preserve"> Conférence* (</t>
    </r>
    <r>
      <rPr>
        <b/>
        <strike/>
        <sz val="10"/>
        <rFont val="Arial"/>
        <family val="2"/>
      </rPr>
      <t>XLP5CE027</t>
    </r>
    <r>
      <rPr>
        <strike/>
        <sz val="10"/>
        <rFont val="Arial"/>
        <family val="2"/>
      </rPr>
      <t xml:space="preserve">) / H. Delorme - </t>
    </r>
    <r>
      <rPr>
        <strike/>
        <sz val="10"/>
        <color indexed="10"/>
        <rFont val="Arial"/>
        <family val="2"/>
      </rPr>
      <t>salle E</t>
    </r>
  </si>
  <si>
    <r>
      <rPr>
        <b/>
        <strike/>
        <sz val="10"/>
        <rFont val="Arial"/>
        <family val="2"/>
      </rPr>
      <t>16h15-18h15</t>
    </r>
    <r>
      <rPr>
        <strike/>
        <sz val="10"/>
        <rFont val="Arial"/>
        <family val="2"/>
      </rPr>
      <t xml:space="preserve"> : Conférence* (</t>
    </r>
    <r>
      <rPr>
        <b/>
        <strike/>
        <sz val="10"/>
        <rFont val="Arial"/>
        <family val="2"/>
      </rPr>
      <t>XLP5CE027</t>
    </r>
    <r>
      <rPr>
        <strike/>
        <sz val="10"/>
        <rFont val="Arial"/>
        <family val="2"/>
      </rPr>
      <t xml:space="preserve">) / H. Delorme - </t>
    </r>
    <r>
      <rPr>
        <strike/>
        <sz val="10"/>
        <color indexed="10"/>
        <rFont val="Arial"/>
        <family val="2"/>
      </rPr>
      <t>salle E</t>
    </r>
  </si>
  <si>
    <t>jeudi 15 février midi : projet tuteuré livrable 4 : Rapport écrit finalisé</t>
  </si>
  <si>
    <r>
      <rPr>
        <b/>
        <sz val="10"/>
        <rFont val="Arial"/>
        <family val="2"/>
      </rPr>
      <t>10h15-12h15:</t>
    </r>
    <r>
      <rPr>
        <sz val="10"/>
        <rFont val="Arial"/>
        <family val="0"/>
      </rPr>
      <t xml:space="preserve"> Conférence* (</t>
    </r>
    <r>
      <rPr>
        <b/>
        <sz val="10"/>
        <rFont val="Arial"/>
        <family val="2"/>
      </rPr>
      <t>XLP5CE037</t>
    </r>
    <r>
      <rPr>
        <sz val="10"/>
        <rFont val="Arial"/>
        <family val="0"/>
      </rPr>
      <t xml:space="preserve">) / E. Bichon - </t>
    </r>
    <r>
      <rPr>
        <sz val="10"/>
        <color indexed="10"/>
        <rFont val="Arial"/>
        <family val="2"/>
      </rPr>
      <t>salle 200</t>
    </r>
  </si>
  <si>
    <r>
      <rPr>
        <b/>
        <sz val="10"/>
        <rFont val="Arial"/>
        <family val="2"/>
      </rPr>
      <t>14h30-18h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E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</si>
  <si>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Conférence* (</t>
    </r>
    <r>
      <rPr>
        <b/>
        <sz val="10"/>
        <rFont val="Arial"/>
        <family val="2"/>
      </rPr>
      <t>XLP5CE027</t>
    </r>
    <r>
      <rPr>
        <sz val="10"/>
        <rFont val="Arial"/>
        <family val="2"/>
      </rPr>
      <t xml:space="preserve">) / V. Deganne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</si>
  <si>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16h15-18h15</t>
    </r>
    <r>
      <rPr>
        <sz val="10"/>
        <rFont val="Arial"/>
        <family val="2"/>
      </rPr>
      <t xml:space="preserve"> : Conférence* (</t>
    </r>
    <r>
      <rPr>
        <b/>
        <sz val="10"/>
        <rFont val="Arial"/>
        <family val="2"/>
      </rPr>
      <t>XLP5CE027</t>
    </r>
    <r>
      <rPr>
        <sz val="10"/>
        <rFont val="Arial"/>
        <family val="2"/>
      </rPr>
      <t xml:space="preserve">) / V. Deganne - </t>
    </r>
    <r>
      <rPr>
        <sz val="10"/>
        <color indexed="10"/>
        <rFont val="Arial"/>
        <family val="2"/>
      </rPr>
      <t>salle E</t>
    </r>
  </si>
  <si>
    <r>
      <rPr>
        <b/>
        <strike/>
        <sz val="10"/>
        <rFont val="Arial"/>
        <family val="2"/>
      </rPr>
      <t xml:space="preserve">14h-15h30 + 15h45-17h15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</si>
  <si>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ilots 200</t>
    </r>
  </si>
  <si>
    <t>16h45 -17h15 : CC N. Dufour (XLP5CE025) - salle 200</t>
  </si>
  <si>
    <r>
      <rPr>
        <b/>
        <strike/>
        <sz val="10"/>
        <rFont val="Arial"/>
        <family val="2"/>
      </rPr>
      <t>9h-12h</t>
    </r>
    <r>
      <rPr>
        <strike/>
        <sz val="10"/>
        <rFont val="Arial"/>
        <family val="2"/>
      </rPr>
      <t>: projet tuteuré  (</t>
    </r>
    <r>
      <rPr>
        <b/>
        <strike/>
        <sz val="10"/>
        <rFont val="Arial"/>
        <family val="2"/>
      </rPr>
      <t>XLP6CE020</t>
    </r>
    <r>
      <rPr>
        <strike/>
        <sz val="10"/>
        <rFont val="Arial"/>
        <family val="2"/>
      </rPr>
      <t>) -</t>
    </r>
    <r>
      <rPr>
        <strike/>
        <sz val="10"/>
        <color indexed="10"/>
        <rFont val="Arial"/>
        <family val="2"/>
      </rPr>
      <t xml:space="preserve"> salle ilots 209 (badge)</t>
    </r>
  </si>
  <si>
    <r>
      <rPr>
        <b/>
        <strike/>
        <sz val="10"/>
        <rFont val="Arial"/>
        <family val="2"/>
      </rPr>
      <t xml:space="preserve">8h30-10h30 : </t>
    </r>
    <r>
      <rPr>
        <strike/>
        <sz val="10"/>
        <rFont val="Arial"/>
        <family val="2"/>
      </rPr>
      <t>normes et règlementation (</t>
    </r>
    <r>
      <rPr>
        <b/>
        <strike/>
        <sz val="10"/>
        <rFont val="Arial"/>
        <family val="2"/>
      </rPr>
      <t>XLP5CE013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</si>
  <si>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trike/>
        <sz val="10"/>
        <rFont val="Arial"/>
        <family val="2"/>
      </rPr>
      <t xml:space="preserve">10h45-12h15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</si>
  <si>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trike/>
        <sz val="10"/>
        <rFont val="Arial"/>
        <family val="2"/>
      </rPr>
      <t xml:space="preserve">13h30-15h30 : </t>
    </r>
    <r>
      <rPr>
        <strike/>
        <sz val="10"/>
        <rFont val="Arial"/>
        <family val="2"/>
      </rPr>
      <t>normes et règlementation (</t>
    </r>
    <r>
      <rPr>
        <b/>
        <strike/>
        <sz val="10"/>
        <rFont val="Arial"/>
        <family val="2"/>
      </rPr>
      <t>XLP5CE013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D</t>
    </r>
  </si>
  <si>
    <r>
      <rPr>
        <b/>
        <strike/>
        <sz val="10"/>
        <rFont val="Arial"/>
        <family val="2"/>
      </rPr>
      <t xml:space="preserve">15h45-17h15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D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</si>
  <si>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</si>
  <si>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projet tuteuré  (XLP6CE020) - </t>
    </r>
    <r>
      <rPr>
        <sz val="10"/>
        <color indexed="10"/>
        <rFont val="Arial"/>
        <family val="2"/>
      </rPr>
      <t>salle B</t>
    </r>
  </si>
  <si>
    <t>10h15-11h15 : CC B. Lalère / M. Le Guennec - salle 03</t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</si>
  <si>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208</t>
    </r>
  </si>
  <si>
    <r>
      <rPr>
        <b/>
        <sz val="10"/>
        <rFont val="Arial"/>
        <family val="2"/>
      </rPr>
      <t>14h-17h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B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</si>
  <si>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11h-12h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 xml:space="preserve">Grpe B </t>
    </r>
    <r>
      <rPr>
        <sz val="10"/>
        <rFont val="Arial"/>
        <family val="0"/>
      </rPr>
      <t>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</si>
  <si>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8h-12h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A et C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</si>
  <si>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16h15-18h 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</si>
  <si>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13h30-16h30 :</t>
    </r>
    <r>
      <rPr>
        <sz val="10"/>
        <rFont val="Arial"/>
        <family val="2"/>
      </rPr>
      <t>Travail personnel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salle ilots 208 (badge)</t>
    </r>
  </si>
  <si>
    <r>
      <rPr>
        <b/>
        <sz val="10"/>
        <rFont val="Arial"/>
        <family val="2"/>
      </rPr>
      <t xml:space="preserve">14h-17h : </t>
    </r>
    <r>
      <rPr>
        <sz val="10"/>
        <rFont val="Arial"/>
        <family val="2"/>
      </rPr>
      <t>Travail personnel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ilots 200 - </t>
    </r>
    <r>
      <rPr>
        <b/>
        <sz val="10"/>
        <rFont val="Arial"/>
        <family val="2"/>
      </rPr>
      <t>RESTITUTION DU DEVOIR TRAVAIL DEMANDE</t>
    </r>
  </si>
  <si>
    <r>
      <rPr>
        <b/>
        <sz val="10"/>
        <rFont val="Arial"/>
        <family val="2"/>
      </rPr>
      <t xml:space="preserve">14h-15h30 + 15h45-17h15 </t>
    </r>
    <r>
      <rPr>
        <sz val="10"/>
        <rFont val="Arial"/>
        <family val="2"/>
      </rPr>
      <t>: ICP-MS (</t>
    </r>
    <r>
      <rPr>
        <b/>
        <sz val="10"/>
        <rFont val="Arial"/>
        <family val="2"/>
      </rPr>
      <t>X31MC34</t>
    </r>
    <r>
      <rPr>
        <sz val="10"/>
        <rFont val="Arial"/>
        <family val="2"/>
      </rPr>
      <t xml:space="preserve">) / L. Kasprzak (CEA)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</si>
  <si>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13h30-15h +15h15-16h45 </t>
    </r>
    <r>
      <rPr>
        <sz val="10"/>
        <rFont val="Arial"/>
        <family val="2"/>
      </rPr>
      <t>: ICP-MS (</t>
    </r>
    <r>
      <rPr>
        <b/>
        <sz val="10"/>
        <rFont val="Arial"/>
        <family val="2"/>
      </rPr>
      <t>X31MC34</t>
    </r>
    <r>
      <rPr>
        <sz val="10"/>
        <rFont val="Arial"/>
        <family val="2"/>
      </rPr>
      <t xml:space="preserve">) / L. Kasprzak (CEA) - </t>
    </r>
    <r>
      <rPr>
        <sz val="10"/>
        <color indexed="10"/>
        <rFont val="Arial"/>
        <family val="2"/>
      </rPr>
      <t>salle visio U3 (badge)</t>
    </r>
  </si>
  <si>
    <t>achomaud@groupecarso.com</t>
  </si>
  <si>
    <r>
      <rPr>
        <b/>
        <sz val="10"/>
        <rFont val="Arial"/>
        <family val="2"/>
      </rPr>
      <t xml:space="preserve">15h45-... : Démo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grpe B</t>
    </r>
    <r>
      <rPr>
        <sz val="10"/>
        <rFont val="Arial"/>
        <family val="2"/>
      </rPr>
      <t xml:space="preserve"> / B. Humbert -</t>
    </r>
    <r>
      <rPr>
        <sz val="10"/>
        <color indexed="10"/>
        <rFont val="Arial"/>
        <family val="2"/>
      </rPr>
      <t xml:space="preserve"> IMN</t>
    </r>
  </si>
  <si>
    <t>…-17h : EDF Chinon (visites labos + boule) / XLP5CE026</t>
  </si>
  <si>
    <t>9h-… : EDF Chinon (conférences) / XLP5CE026</t>
  </si>
  <si>
    <t>10h-11h30 : CC M. Kelett + L. Kasprzak / M. Le Guennec - salle B</t>
  </si>
  <si>
    <r>
      <rPr>
        <b/>
        <sz val="10"/>
        <rFont val="Arial"/>
        <family val="2"/>
      </rPr>
      <t xml:space="preserve">8h-10h : </t>
    </r>
    <r>
      <rPr>
        <sz val="10"/>
        <rFont val="Arial"/>
        <family val="2"/>
      </rPr>
      <t>problématiques de métrologie nucléaire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</si>
  <si>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10h15-12h15 : </t>
    </r>
    <r>
      <rPr>
        <sz val="10"/>
        <rFont val="Arial"/>
        <family val="2"/>
      </rPr>
      <t>normes et règlementation (</t>
    </r>
    <r>
      <rPr>
        <b/>
        <sz val="10"/>
        <rFont val="Arial"/>
        <family val="2"/>
      </rPr>
      <t>XLP5CE013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</si>
  <si>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13h30-15h30 : </t>
    </r>
    <r>
      <rPr>
        <sz val="10"/>
        <rFont val="Arial"/>
        <family val="2"/>
      </rPr>
      <t>problématiques de métrologie nucléaire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</si>
  <si>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15h45-17h45 : </t>
    </r>
    <r>
      <rPr>
        <sz val="10"/>
        <rFont val="Arial"/>
        <family val="2"/>
      </rPr>
      <t>normes et règlementation (</t>
    </r>
    <r>
      <rPr>
        <b/>
        <sz val="10"/>
        <rFont val="Arial"/>
        <family val="2"/>
      </rPr>
      <t>XLP5CE013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</si>
</sst>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%"/>
    <numFmt numFmtId="170" formatCode="[$€-2]\ #,##0.00_);[Red]\([$€-2]\ #,##0.00\)"/>
    <numFmt numFmtId="171" formatCode="mmm\-yyyy"/>
    <numFmt numFmtId="172" formatCode="[$-40C]dddd\ d\ mmmm\ yyyy"/>
    <numFmt numFmtId="173" formatCode="0.000000"/>
    <numFmt numFmtId="174" formatCode="0.00000"/>
    <numFmt numFmtId="175" formatCode="0.0000"/>
    <numFmt numFmtId="176" formatCode="0.000"/>
  </numFmts>
  <fonts count="137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Times New Roman ,serif;color:bl"/>
      <family val="0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,serif;color:bl"/>
      <family val="0"/>
    </font>
    <font>
      <b/>
      <u val="single"/>
      <sz val="14"/>
      <color indexed="10"/>
      <name val="Arial"/>
      <family val="2"/>
    </font>
    <font>
      <strike/>
      <sz val="12"/>
      <name val="Times New Roman"/>
      <family val="1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Times New Roman ,serif;color:bl"/>
      <family val="0"/>
    </font>
    <font>
      <b/>
      <sz val="12"/>
      <name val="Times New Roman ,serif;color:bl"/>
      <family val="0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i/>
      <strike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12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color indexed="30"/>
      <name val="Times New Roman"/>
      <family val="1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1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9"/>
      <name val="Arial"/>
      <family val="2"/>
    </font>
    <font>
      <b/>
      <strike/>
      <sz val="10"/>
      <color indexed="10"/>
      <name val="Arial"/>
      <family val="2"/>
    </font>
    <font>
      <b/>
      <strike/>
      <sz val="9"/>
      <color indexed="9"/>
      <name val="Arial"/>
      <family val="2"/>
    </font>
    <font>
      <b/>
      <strike/>
      <sz val="16"/>
      <color indexed="10"/>
      <name val="Arial"/>
      <family val="2"/>
    </font>
    <font>
      <b/>
      <sz val="14"/>
      <color indexed="12"/>
      <name val="Times New Roman"/>
      <family val="1"/>
    </font>
    <font>
      <b/>
      <sz val="13"/>
      <color indexed="10"/>
      <name val="Arial"/>
      <family val="2"/>
    </font>
    <font>
      <b/>
      <sz val="12"/>
      <color indexed="10"/>
      <name val="Times New Roman ,serif;color:bl"/>
      <family val="0"/>
    </font>
    <font>
      <sz val="10"/>
      <color indexed="10"/>
      <name val="Times New Roman ,serif;color:bl"/>
      <family val="0"/>
    </font>
    <font>
      <sz val="12"/>
      <color indexed="10"/>
      <name val="Times New Roman ,serif;color:bl"/>
      <family val="0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70C0"/>
      <name val="Arial"/>
      <family val="2"/>
    </font>
    <font>
      <sz val="12"/>
      <color rgb="FF0070C0"/>
      <name val="Times New Roman"/>
      <family val="1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Times New Roman"/>
      <family val="1"/>
    </font>
    <font>
      <b/>
      <sz val="12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trike/>
      <sz val="10"/>
      <color rgb="FFFF0000"/>
      <name val="Arial"/>
      <family val="2"/>
    </font>
    <font>
      <b/>
      <strike/>
      <sz val="9"/>
      <color theme="0"/>
      <name val="Arial"/>
      <family val="2"/>
    </font>
    <font>
      <b/>
      <strike/>
      <sz val="16"/>
      <color rgb="FFFF0000"/>
      <name val="Arial"/>
      <family val="2"/>
    </font>
    <font>
      <i/>
      <sz val="10"/>
      <color rgb="FF0070C0"/>
      <name val="Arial"/>
      <family val="2"/>
    </font>
    <font>
      <b/>
      <sz val="14"/>
      <color rgb="FF0000FF"/>
      <name val="Times New Roman"/>
      <family val="1"/>
    </font>
    <font>
      <b/>
      <sz val="13"/>
      <color rgb="FFFF0000"/>
      <name val="Arial"/>
      <family val="2"/>
    </font>
    <font>
      <b/>
      <sz val="12"/>
      <color rgb="FFFF0000"/>
      <name val="Times New Roman ,serif;color:bl"/>
      <family val="0"/>
    </font>
    <font>
      <sz val="10"/>
      <color rgb="FFFF0000"/>
      <name val="Times New Roman ,serif;color:bl"/>
      <family val="0"/>
    </font>
    <font>
      <sz val="12"/>
      <color rgb="FFFF0000"/>
      <name val="Times New Roman ,serif;color:bl"/>
      <family val="0"/>
    </font>
    <font>
      <sz val="10"/>
      <color theme="0"/>
      <name val="Arial"/>
      <family val="2"/>
    </font>
    <font>
      <b/>
      <i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66"/>
        <bgColor indexed="64"/>
      </patternFill>
    </fill>
    <fill>
      <gradientFill degree="90">
        <stop position="0">
          <color rgb="FF00FF00"/>
        </stop>
        <stop position="1">
          <color rgb="FFFF99FF"/>
        </stop>
      </gradientFill>
    </fill>
    <fill>
      <patternFill patternType="solid">
        <fgColor rgb="FFE2EF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darkUp">
        <fgColor rgb="FFC0000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rgb="FF00FF00"/>
        <bgColor rgb="FFFFFF00"/>
      </patternFill>
    </fill>
    <fill>
      <patternFill patternType="solid">
        <fgColor rgb="FFC00000"/>
        <bgColor indexed="64"/>
      </patternFill>
    </fill>
    <fill>
      <patternFill patternType="darkUp">
        <fgColor rgb="FFC00000"/>
      </patternFill>
    </fill>
    <fill>
      <patternFill patternType="darkUp">
        <fgColor rgb="FFC00000"/>
        <bgColor rgb="FFFFFF99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00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78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45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right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15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15" borderId="17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 quotePrefix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3" xfId="45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35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8" fillId="35" borderId="0" xfId="0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16" fillId="36" borderId="13" xfId="0" applyFont="1" applyFill="1" applyBorder="1" applyAlignment="1">
      <alignment vertical="center"/>
    </xf>
    <xf numFmtId="0" fontId="15" fillId="0" borderId="13" xfId="45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36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36" borderId="13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wrapText="1"/>
    </xf>
    <xf numFmtId="0" fontId="113" fillId="35" borderId="0" xfId="0" applyFont="1" applyFill="1" applyAlignment="1">
      <alignment vertical="center" wrapText="1"/>
    </xf>
    <xf numFmtId="0" fontId="0" fillId="35" borderId="0" xfId="0" applyFill="1" applyAlignment="1">
      <alignment horizontal="left" vertical="center"/>
    </xf>
    <xf numFmtId="0" fontId="1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14" fillId="0" borderId="0" xfId="0" applyFont="1" applyFill="1" applyBorder="1" applyAlignment="1">
      <alignment horizontal="left" vertical="center"/>
    </xf>
    <xf numFmtId="0" fontId="0" fillId="35" borderId="0" xfId="0" applyFill="1" applyAlignment="1">
      <alignment horizontal="right" vertical="center" wrapText="1"/>
    </xf>
    <xf numFmtId="0" fontId="115" fillId="0" borderId="2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2" fillId="0" borderId="0" xfId="45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106" fillId="37" borderId="22" xfId="0" applyFont="1" applyFill="1" applyBorder="1" applyAlignment="1" applyProtection="1">
      <alignment vertical="center"/>
      <protection/>
    </xf>
    <xf numFmtId="0" fontId="106" fillId="37" borderId="23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06" fillId="37" borderId="23" xfId="0" applyFont="1" applyFill="1" applyBorder="1" applyAlignment="1" applyProtection="1">
      <alignment horizontal="center" vertical="center"/>
      <protection/>
    </xf>
    <xf numFmtId="0" fontId="106" fillId="37" borderId="23" xfId="0" applyNumberFormat="1" applyFont="1" applyFill="1" applyBorder="1" applyAlignment="1" applyProtection="1">
      <alignment horizontal="center" vertical="center"/>
      <protection/>
    </xf>
    <xf numFmtId="0" fontId="106" fillId="15" borderId="24" xfId="0" applyFont="1" applyFill="1" applyBorder="1" applyAlignment="1">
      <alignment horizontal="center" vertical="center"/>
    </xf>
    <xf numFmtId="0" fontId="106" fillId="37" borderId="25" xfId="0" applyFont="1" applyFill="1" applyBorder="1" applyAlignment="1" applyProtection="1">
      <alignment vertical="center"/>
      <protection/>
    </xf>
    <xf numFmtId="0" fontId="106" fillId="37" borderId="26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06" fillId="37" borderId="26" xfId="0" applyFont="1" applyFill="1" applyBorder="1" applyAlignment="1" applyProtection="1">
      <alignment horizontal="center" vertical="center"/>
      <protection/>
    </xf>
    <xf numFmtId="0" fontId="106" fillId="37" borderId="26" xfId="0" applyNumberFormat="1" applyFont="1" applyFill="1" applyBorder="1" applyAlignment="1" applyProtection="1">
      <alignment horizontal="center" vertical="center"/>
      <protection/>
    </xf>
    <xf numFmtId="0" fontId="106" fillId="15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06" fillId="37" borderId="29" xfId="0" applyFont="1" applyFill="1" applyBorder="1" applyAlignment="1" applyProtection="1">
      <alignment vertical="center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106" fillId="37" borderId="30" xfId="0" applyNumberFormat="1" applyFont="1" applyFill="1" applyBorder="1" applyAlignment="1" applyProtection="1">
      <alignment horizontal="center" vertical="center"/>
      <protection/>
    </xf>
    <xf numFmtId="0" fontId="106" fillId="15" borderId="31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Alignment="1">
      <alignment vertical="center"/>
    </xf>
    <xf numFmtId="0" fontId="23" fillId="7" borderId="21" xfId="0" applyFont="1" applyFill="1" applyBorder="1" applyAlignment="1" applyProtection="1">
      <alignment horizontal="right" vertical="center"/>
      <protection/>
    </xf>
    <xf numFmtId="0" fontId="23" fillId="7" borderId="13" xfId="0" applyFont="1" applyFill="1" applyBorder="1" applyAlignment="1" applyProtection="1">
      <alignment horizontal="right" vertical="center" wrapText="1"/>
      <protection/>
    </xf>
    <xf numFmtId="0" fontId="23" fillId="7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7" borderId="13" xfId="0" applyFont="1" applyFill="1" applyBorder="1" applyAlignment="1" applyProtection="1">
      <alignment horizontal="center" vertical="center"/>
      <protection/>
    </xf>
    <xf numFmtId="0" fontId="23" fillId="7" borderId="13" xfId="0" applyNumberFormat="1" applyFont="1" applyFill="1" applyBorder="1" applyAlignment="1" applyProtection="1">
      <alignment horizontal="center" vertical="center"/>
      <protection/>
    </xf>
    <xf numFmtId="0" fontId="23" fillId="34" borderId="13" xfId="0" applyNumberFormat="1" applyFont="1" applyFill="1" applyBorder="1" applyAlignment="1" applyProtection="1">
      <alignment horizontal="center" vertical="center"/>
      <protection/>
    </xf>
    <xf numFmtId="0" fontId="9" fillId="15" borderId="32" xfId="0" applyNumberFormat="1" applyFont="1" applyFill="1" applyBorder="1" applyAlignment="1" applyProtection="1">
      <alignment horizontal="center" vertical="center"/>
      <protection/>
    </xf>
    <xf numFmtId="0" fontId="23" fillId="33" borderId="21" xfId="0" applyFont="1" applyFill="1" applyBorder="1" applyAlignment="1" applyProtection="1">
      <alignment horizontal="right" vertical="center"/>
      <protection/>
    </xf>
    <xf numFmtId="0" fontId="0" fillId="33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 applyProtection="1">
      <alignment horizontal="right" vertical="center" wrapText="1"/>
      <protection/>
    </xf>
    <xf numFmtId="0" fontId="23" fillId="7" borderId="1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7" borderId="14" xfId="0" applyFont="1" applyFill="1" applyBorder="1" applyAlignment="1" applyProtection="1">
      <alignment horizontal="center" vertical="center"/>
      <protection/>
    </xf>
    <xf numFmtId="0" fontId="23" fillId="34" borderId="14" xfId="0" applyNumberFormat="1" applyFont="1" applyFill="1" applyBorder="1" applyAlignment="1" applyProtection="1">
      <alignment horizontal="center" vertical="center"/>
      <protection/>
    </xf>
    <xf numFmtId="0" fontId="23" fillId="15" borderId="15" xfId="0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106" fillId="37" borderId="21" xfId="0" applyFont="1" applyFill="1" applyBorder="1" applyAlignment="1" applyProtection="1">
      <alignment vertical="center"/>
      <protection/>
    </xf>
    <xf numFmtId="0" fontId="106" fillId="37" borderId="13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106" fillId="37" borderId="13" xfId="0" applyFont="1" applyFill="1" applyBorder="1" applyAlignment="1" applyProtection="1">
      <alignment horizontal="center" vertical="center"/>
      <protection/>
    </xf>
    <xf numFmtId="0" fontId="106" fillId="15" borderId="17" xfId="0" applyNumberFormat="1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7" borderId="21" xfId="0" applyFont="1" applyFill="1" applyBorder="1" applyAlignment="1" applyProtection="1">
      <alignment horizontal="right" vertical="top"/>
      <protection/>
    </xf>
    <xf numFmtId="0" fontId="23" fillId="7" borderId="13" xfId="0" applyFont="1" applyFill="1" applyBorder="1" applyAlignment="1">
      <alignment horizontal="right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15" borderId="32" xfId="0" applyFont="1" applyFill="1" applyBorder="1" applyAlignment="1">
      <alignment horizontal="center" vertical="center"/>
    </xf>
    <xf numFmtId="0" fontId="106" fillId="37" borderId="16" xfId="0" applyNumberFormat="1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15" borderId="17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9" fillId="15" borderId="33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15" borderId="3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04" fillId="0" borderId="0" xfId="0" applyFont="1" applyAlignment="1">
      <alignment horizontal="right" vertical="center" wrapText="1"/>
    </xf>
    <xf numFmtId="0" fontId="69" fillId="0" borderId="0" xfId="0" applyFont="1" applyFill="1" applyAlignment="1">
      <alignment horizontal="center" vertical="center" wrapText="1"/>
    </xf>
    <xf numFmtId="0" fontId="10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116" fillId="0" borderId="0" xfId="0" applyFont="1" applyAlignment="1">
      <alignment horizontal="right" vertical="center" wrapText="1"/>
    </xf>
    <xf numFmtId="0" fontId="106" fillId="0" borderId="0" xfId="0" applyFont="1" applyAlignment="1">
      <alignment horizontal="center" vertical="center"/>
    </xf>
    <xf numFmtId="0" fontId="90" fillId="0" borderId="0" xfId="0" applyFont="1" applyAlignment="1">
      <alignment vertical="center" wrapText="1"/>
    </xf>
    <xf numFmtId="0" fontId="107" fillId="0" borderId="0" xfId="0" applyFont="1" applyAlignment="1">
      <alignment horizontal="left" vertical="center"/>
    </xf>
    <xf numFmtId="0" fontId="107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38" borderId="2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114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17" fillId="35" borderId="0" xfId="0" applyFont="1" applyFill="1" applyAlignment="1">
      <alignment vertical="center" wrapText="1"/>
    </xf>
    <xf numFmtId="20" fontId="11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13" xfId="45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3" fillId="35" borderId="13" xfId="0" applyNumberFormat="1" applyFont="1" applyFill="1" applyBorder="1" applyAlignment="1" applyProtection="1">
      <alignment horizontal="center" vertical="center"/>
      <protection/>
    </xf>
    <xf numFmtId="0" fontId="23" fillId="35" borderId="13" xfId="0" applyFont="1" applyFill="1" applyBorder="1" applyAlignment="1" applyProtection="1">
      <alignment horizontal="center" vertical="center" wrapText="1"/>
      <protection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113" fillId="35" borderId="13" xfId="0" applyNumberFormat="1" applyFont="1" applyFill="1" applyBorder="1" applyAlignment="1" applyProtection="1">
      <alignment horizontal="center" vertical="center"/>
      <protection/>
    </xf>
    <xf numFmtId="0" fontId="113" fillId="0" borderId="0" xfId="0" applyFont="1" applyAlignment="1">
      <alignment vertical="center"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0" fillId="38" borderId="36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115" fillId="38" borderId="20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vertical="center"/>
    </xf>
    <xf numFmtId="0" fontId="10" fillId="38" borderId="18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110" fillId="0" borderId="13" xfId="0" applyFont="1" applyBorder="1" applyAlignment="1">
      <alignment vertical="center"/>
    </xf>
    <xf numFmtId="0" fontId="15" fillId="39" borderId="13" xfId="0" applyFont="1" applyFill="1" applyBorder="1" applyAlignment="1">
      <alignment horizontal="left" vertical="center"/>
    </xf>
    <xf numFmtId="0" fontId="15" fillId="39" borderId="37" xfId="0" applyFont="1" applyFill="1" applyBorder="1" applyAlignment="1">
      <alignment horizontal="left" vertical="center"/>
    </xf>
    <xf numFmtId="0" fontId="118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38" borderId="20" xfId="0" applyFont="1" applyFill="1" applyBorder="1" applyAlignment="1">
      <alignment vertical="center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119" fillId="0" borderId="13" xfId="0" applyNumberFormat="1" applyFont="1" applyFill="1" applyBorder="1" applyAlignment="1" applyProtection="1">
      <alignment horizontal="center" vertical="center"/>
      <protection/>
    </xf>
    <xf numFmtId="0" fontId="119" fillId="35" borderId="16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0" fillId="0" borderId="0" xfId="0" applyFont="1" applyFill="1" applyAlignment="1">
      <alignment horizontal="center" vertical="center"/>
    </xf>
    <xf numFmtId="0" fontId="6" fillId="38" borderId="38" xfId="0" applyFont="1" applyFill="1" applyBorder="1" applyAlignment="1">
      <alignment vertical="center"/>
    </xf>
    <xf numFmtId="0" fontId="107" fillId="0" borderId="0" xfId="0" applyFont="1" applyAlignment="1" quotePrefix="1">
      <alignment vertical="center"/>
    </xf>
    <xf numFmtId="0" fontId="6" fillId="5" borderId="13" xfId="0" applyFont="1" applyFill="1" applyBorder="1" applyAlignment="1" applyProtection="1">
      <alignment horizontal="right" vertical="center" wrapText="1"/>
      <protection/>
    </xf>
    <xf numFmtId="0" fontId="23" fillId="5" borderId="21" xfId="0" applyFont="1" applyFill="1" applyBorder="1" applyAlignment="1" applyProtection="1">
      <alignment horizontal="right" vertical="center"/>
      <protection/>
    </xf>
    <xf numFmtId="0" fontId="23" fillId="5" borderId="13" xfId="0" applyFont="1" applyFill="1" applyBorder="1" applyAlignment="1" applyProtection="1">
      <alignment horizontal="center" vertical="center" wrapText="1"/>
      <protection/>
    </xf>
    <xf numFmtId="0" fontId="9" fillId="5" borderId="13" xfId="0" applyNumberFormat="1" applyFont="1" applyFill="1" applyBorder="1" applyAlignment="1" applyProtection="1">
      <alignment horizontal="center" vertical="center"/>
      <protection/>
    </xf>
    <xf numFmtId="0" fontId="9" fillId="5" borderId="14" xfId="0" applyNumberFormat="1" applyFont="1" applyFill="1" applyBorder="1" applyAlignment="1" applyProtection="1">
      <alignment horizontal="center" vertical="center"/>
      <protection/>
    </xf>
    <xf numFmtId="0" fontId="9" fillId="5" borderId="13" xfId="0" applyFont="1" applyFill="1" applyBorder="1" applyAlignment="1" applyProtection="1">
      <alignment horizontal="right" vertical="center" wrapText="1"/>
      <protection/>
    </xf>
    <xf numFmtId="0" fontId="9" fillId="5" borderId="13" xfId="0" applyFont="1" applyFill="1" applyBorder="1" applyAlignment="1" applyProtection="1">
      <alignment horizontal="center" vertical="center"/>
      <protection/>
    </xf>
    <xf numFmtId="0" fontId="23" fillId="5" borderId="39" xfId="0" applyFont="1" applyFill="1" applyBorder="1" applyAlignment="1" applyProtection="1">
      <alignment horizontal="right" vertical="center"/>
      <protection/>
    </xf>
    <xf numFmtId="0" fontId="23" fillId="5" borderId="25" xfId="0" applyFont="1" applyFill="1" applyBorder="1" applyAlignment="1" applyProtection="1">
      <alignment horizontal="right" vertical="center"/>
      <protection/>
    </xf>
    <xf numFmtId="0" fontId="9" fillId="5" borderId="26" xfId="0" applyFont="1" applyFill="1" applyBorder="1" applyAlignment="1" applyProtection="1">
      <alignment horizontal="right" vertical="center" wrapText="1"/>
      <protection/>
    </xf>
    <xf numFmtId="0" fontId="23" fillId="5" borderId="26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/>
      <protection/>
    </xf>
    <xf numFmtId="0" fontId="9" fillId="5" borderId="26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40" borderId="40" xfId="0" applyFont="1" applyFill="1" applyBorder="1" applyAlignment="1">
      <alignment vertical="center" wrapText="1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23" fillId="41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6" fillId="37" borderId="31" xfId="0" applyNumberFormat="1" applyFont="1" applyFill="1" applyBorder="1" applyAlignment="1" applyProtection="1">
      <alignment horizontal="center" vertical="center"/>
      <protection/>
    </xf>
    <xf numFmtId="0" fontId="106" fillId="37" borderId="35" xfId="0" applyNumberFormat="1" applyFont="1" applyFill="1" applyBorder="1" applyAlignment="1" applyProtection="1">
      <alignment horizontal="center" vertical="center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04" fillId="33" borderId="0" xfId="0" applyFont="1" applyFill="1" applyAlignment="1">
      <alignment vertical="center"/>
    </xf>
    <xf numFmtId="0" fontId="104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104" fillId="33" borderId="0" xfId="0" applyFont="1" applyFill="1" applyAlignment="1" quotePrefix="1">
      <alignment vertical="center"/>
    </xf>
    <xf numFmtId="0" fontId="0" fillId="33" borderId="0" xfId="0" applyFill="1" applyAlignment="1">
      <alignment horizontal="left" vertical="center"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33" xfId="0" applyNumberFormat="1" applyFont="1" applyFill="1" applyBorder="1" applyAlignment="1" applyProtection="1">
      <alignment horizontal="center" vertical="center"/>
      <protection/>
    </xf>
    <xf numFmtId="0" fontId="106" fillId="37" borderId="17" xfId="0" applyFont="1" applyFill="1" applyBorder="1" applyAlignment="1" applyProtection="1">
      <alignment horizontal="center" vertical="center"/>
      <protection/>
    </xf>
    <xf numFmtId="0" fontId="106" fillId="37" borderId="17" xfId="0" applyNumberFormat="1" applyFont="1" applyFill="1" applyBorder="1" applyAlignment="1" applyProtection="1">
      <alignment horizontal="center" vertical="center"/>
      <protection/>
    </xf>
    <xf numFmtId="0" fontId="9" fillId="34" borderId="35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vertical="center"/>
    </xf>
    <xf numFmtId="49" fontId="110" fillId="0" borderId="13" xfId="0" applyNumberFormat="1" applyFont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6" fillId="36" borderId="14" xfId="0" applyFont="1" applyFill="1" applyBorder="1" applyAlignment="1">
      <alignment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30" fillId="0" borderId="0" xfId="45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45" applyFill="1" applyBorder="1" applyAlignment="1" applyProtection="1">
      <alignment vertical="center"/>
      <protection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34" fillId="42" borderId="23" xfId="0" applyFont="1" applyFill="1" applyBorder="1" applyAlignment="1">
      <alignment horizontal="center" vertical="center" wrapText="1"/>
    </xf>
    <xf numFmtId="0" fontId="15" fillId="43" borderId="23" xfId="0" applyFont="1" applyFill="1" applyBorder="1" applyAlignment="1">
      <alignment horizontal="center" vertical="center"/>
    </xf>
    <xf numFmtId="0" fontId="15" fillId="44" borderId="31" xfId="0" applyFont="1" applyFill="1" applyBorder="1" applyAlignment="1">
      <alignment horizontal="center" vertical="center"/>
    </xf>
    <xf numFmtId="0" fontId="1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7" fillId="42" borderId="1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11" fillId="44" borderId="1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13" xfId="0" applyFont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quotePrefix="1">
      <alignment horizontal="center" vertical="center"/>
    </xf>
    <xf numFmtId="0" fontId="35" fillId="0" borderId="0" xfId="0" applyFont="1" applyAlignment="1">
      <alignment horizontal="right" vertical="center"/>
    </xf>
    <xf numFmtId="0" fontId="114" fillId="0" borderId="0" xfId="0" applyFont="1" applyAlignment="1">
      <alignment vertical="center"/>
    </xf>
    <xf numFmtId="0" fontId="35" fillId="0" borderId="0" xfId="0" applyFont="1" applyAlignment="1" quotePrefix="1">
      <alignment horizontal="center" vertical="center"/>
    </xf>
    <xf numFmtId="0" fontId="15" fillId="0" borderId="0" xfId="0" applyFont="1" applyAlignment="1">
      <alignment vertical="center" wrapText="1"/>
    </xf>
    <xf numFmtId="0" fontId="111" fillId="0" borderId="0" xfId="0" applyFont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36" borderId="44" xfId="0" applyFont="1" applyFill="1" applyBorder="1" applyAlignment="1">
      <alignment vertical="center"/>
    </xf>
    <xf numFmtId="0" fontId="16" fillId="0" borderId="44" xfId="0" applyFont="1" applyBorder="1" applyAlignment="1">
      <alignment horizontal="center" vertical="center" wrapText="1"/>
    </xf>
    <xf numFmtId="0" fontId="16" fillId="42" borderId="44" xfId="0" applyFont="1" applyFill="1" applyBorder="1" applyAlignment="1">
      <alignment horizontal="center" vertical="center"/>
    </xf>
    <xf numFmtId="0" fontId="16" fillId="42" borderId="44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  <xf numFmtId="0" fontId="16" fillId="44" borderId="45" xfId="0" applyFont="1" applyFill="1" applyBorder="1" applyAlignment="1">
      <alignment horizontal="center" vertical="center" wrapText="1"/>
    </xf>
    <xf numFmtId="16" fontId="34" fillId="42" borderId="1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/>
    </xf>
    <xf numFmtId="0" fontId="15" fillId="39" borderId="39" xfId="0" applyFont="1" applyFill="1" applyBorder="1" applyAlignment="1">
      <alignment vertical="center"/>
    </xf>
    <xf numFmtId="0" fontId="15" fillId="39" borderId="25" xfId="0" applyFont="1" applyFill="1" applyBorder="1" applyAlignment="1">
      <alignment horizontal="left" vertical="center"/>
    </xf>
    <xf numFmtId="0" fontId="15" fillId="39" borderId="47" xfId="0" applyFont="1" applyFill="1" applyBorder="1" applyAlignment="1">
      <alignment horizontal="left" vertical="center"/>
    </xf>
    <xf numFmtId="0" fontId="0" fillId="45" borderId="20" xfId="0" applyFont="1" applyFill="1" applyBorder="1" applyAlignment="1" quotePrefix="1">
      <alignment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45" borderId="20" xfId="0" applyFont="1" applyFill="1" applyBorder="1" applyAlignment="1" quotePrefix="1">
      <alignment horizontal="right" vertical="center"/>
    </xf>
    <xf numFmtId="0" fontId="0" fillId="45" borderId="38" xfId="0" applyFont="1" applyFill="1" applyBorder="1" applyAlignment="1" quotePrefix="1">
      <alignment horizontal="right" vertical="center"/>
    </xf>
    <xf numFmtId="0" fontId="0" fillId="45" borderId="40" xfId="0" applyFont="1" applyFill="1" applyBorder="1" applyAlignment="1" quotePrefix="1">
      <alignment horizontal="left"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6" fillId="38" borderId="40" xfId="0" applyFont="1" applyFill="1" applyBorder="1" applyAlignment="1">
      <alignment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1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8" borderId="18" xfId="0" applyFont="1" applyFill="1" applyBorder="1" applyAlignment="1">
      <alignment horizontal="right"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45" borderId="40" xfId="0" applyFont="1" applyFill="1" applyBorder="1" applyAlignment="1" quotePrefix="1">
      <alignment horizontal="right"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9" fillId="46" borderId="13" xfId="0" applyFont="1" applyFill="1" applyBorder="1" applyAlignment="1" applyProtection="1">
      <alignment horizontal="center" vertical="center"/>
      <protection/>
    </xf>
    <xf numFmtId="0" fontId="0" fillId="0" borderId="4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2" fontId="106" fillId="0" borderId="0" xfId="0" applyNumberFormat="1" applyFont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47" borderId="18" xfId="0" applyFont="1" applyFill="1" applyBorder="1" applyAlignment="1">
      <alignment vertical="center" wrapText="1"/>
    </xf>
    <xf numFmtId="0" fontId="0" fillId="47" borderId="2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15" fillId="48" borderId="10" xfId="0" applyFont="1" applyFill="1" applyBorder="1" applyAlignment="1">
      <alignment wrapText="1"/>
    </xf>
    <xf numFmtId="0" fontId="15" fillId="47" borderId="48" xfId="0" applyFont="1" applyFill="1" applyBorder="1" applyAlignment="1">
      <alignment horizontal="center" vertical="center" wrapText="1"/>
    </xf>
    <xf numFmtId="0" fontId="15" fillId="47" borderId="0" xfId="0" applyFont="1" applyFill="1" applyAlignment="1">
      <alignment horizontal="center" vertical="center"/>
    </xf>
    <xf numFmtId="0" fontId="114" fillId="47" borderId="0" xfId="0" applyFont="1" applyFill="1" applyAlignment="1">
      <alignment vertical="center"/>
    </xf>
    <xf numFmtId="0" fontId="15" fillId="47" borderId="48" xfId="0" applyFont="1" applyFill="1" applyBorder="1" applyAlignment="1">
      <alignment vertical="center" wrapText="1"/>
    </xf>
    <xf numFmtId="0" fontId="15" fillId="47" borderId="49" xfId="0" applyFont="1" applyFill="1" applyBorder="1" applyAlignment="1">
      <alignment horizontal="center" vertical="center" wrapText="1"/>
    </xf>
    <xf numFmtId="0" fontId="15" fillId="47" borderId="50" xfId="0" applyFont="1" applyFill="1" applyBorder="1" applyAlignment="1">
      <alignment horizontal="center" vertical="center"/>
    </xf>
    <xf numFmtId="0" fontId="114" fillId="47" borderId="50" xfId="0" applyFont="1" applyFill="1" applyBorder="1" applyAlignment="1">
      <alignment vertical="center"/>
    </xf>
    <xf numFmtId="0" fontId="114" fillId="47" borderId="51" xfId="0" applyFont="1" applyFill="1" applyBorder="1" applyAlignment="1">
      <alignment vertical="center"/>
    </xf>
    <xf numFmtId="0" fontId="114" fillId="47" borderId="0" xfId="0" applyFont="1" applyFill="1" applyAlignment="1">
      <alignment horizontal="left" vertical="center"/>
    </xf>
    <xf numFmtId="0" fontId="114" fillId="47" borderId="0" xfId="0" applyFont="1" applyFill="1" applyAlignment="1">
      <alignment vertical="center" wrapText="1"/>
    </xf>
    <xf numFmtId="0" fontId="111" fillId="47" borderId="48" xfId="0" applyFont="1" applyFill="1" applyBorder="1" applyAlignment="1">
      <alignment horizontal="center" vertical="center" wrapText="1"/>
    </xf>
    <xf numFmtId="0" fontId="15" fillId="47" borderId="28" xfId="0" applyFont="1" applyFill="1" applyBorder="1" applyAlignment="1">
      <alignment wrapText="1"/>
    </xf>
    <xf numFmtId="0" fontId="15" fillId="47" borderId="11" xfId="0" applyFont="1" applyFill="1" applyBorder="1" applyAlignment="1">
      <alignment wrapText="1"/>
    </xf>
    <xf numFmtId="0" fontId="111" fillId="0" borderId="52" xfId="0" applyFont="1" applyBorder="1" applyAlignment="1">
      <alignment horizontal="center" vertical="center" wrapText="1"/>
    </xf>
    <xf numFmtId="0" fontId="15" fillId="47" borderId="53" xfId="0" applyFont="1" applyFill="1" applyBorder="1" applyAlignment="1">
      <alignment horizontal="center" vertical="center"/>
    </xf>
    <xf numFmtId="0" fontId="114" fillId="47" borderId="53" xfId="0" applyFont="1" applyFill="1" applyBorder="1" applyAlignment="1">
      <alignment vertical="center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9" fillId="49" borderId="13" xfId="0" applyNumberFormat="1" applyFont="1" applyFill="1" applyBorder="1" applyAlignment="1" applyProtection="1">
      <alignment horizontal="center" vertical="center"/>
      <protection/>
    </xf>
    <xf numFmtId="0" fontId="9" fillId="49" borderId="13" xfId="0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36" fillId="38" borderId="38" xfId="0" applyFont="1" applyFill="1" applyBorder="1" applyAlignment="1">
      <alignment horizontal="center" vertical="center" wrapText="1"/>
    </xf>
    <xf numFmtId="0" fontId="6" fillId="38" borderId="54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38" borderId="28" xfId="0" applyFont="1" applyFill="1" applyBorder="1" applyAlignment="1">
      <alignment vertical="center"/>
    </xf>
    <xf numFmtId="0" fontId="6" fillId="38" borderId="28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vertical="center"/>
    </xf>
    <xf numFmtId="2" fontId="106" fillId="0" borderId="0" xfId="0" applyNumberFormat="1" applyFont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vertical="center" wrapText="1"/>
    </xf>
    <xf numFmtId="0" fontId="111" fillId="47" borderId="56" xfId="0" applyFont="1" applyFill="1" applyBorder="1" applyAlignment="1">
      <alignment horizontal="center" vertical="center" wrapText="1"/>
    </xf>
    <xf numFmtId="0" fontId="15" fillId="47" borderId="28" xfId="0" applyFont="1" applyFill="1" applyBorder="1" applyAlignment="1">
      <alignment horizontal="center" vertical="center"/>
    </xf>
    <xf numFmtId="0" fontId="16" fillId="47" borderId="28" xfId="0" applyFont="1" applyFill="1" applyBorder="1" applyAlignment="1">
      <alignment vertical="center"/>
    </xf>
    <xf numFmtId="0" fontId="114" fillId="47" borderId="28" xfId="0" applyFont="1" applyFill="1" applyBorder="1" applyAlignment="1">
      <alignment vertical="center"/>
    </xf>
    <xf numFmtId="0" fontId="15" fillId="47" borderId="28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14" fillId="47" borderId="0" xfId="0" applyFont="1" applyFill="1" applyBorder="1" applyAlignment="1">
      <alignment vertical="center"/>
    </xf>
    <xf numFmtId="0" fontId="23" fillId="38" borderId="20" xfId="0" applyFont="1" applyFill="1" applyBorder="1" applyAlignment="1">
      <alignment horizontal="right" vertical="center"/>
    </xf>
    <xf numFmtId="0" fontId="0" fillId="48" borderId="0" xfId="0" applyFont="1" applyFill="1" applyAlignment="1">
      <alignment horizontal="center" vertical="center"/>
    </xf>
    <xf numFmtId="0" fontId="6" fillId="35" borderId="52" xfId="0" applyFont="1" applyFill="1" applyBorder="1" applyAlignment="1">
      <alignment vertical="center"/>
    </xf>
    <xf numFmtId="0" fontId="0" fillId="35" borderId="53" xfId="0" applyFont="1" applyFill="1" applyBorder="1" applyAlignment="1">
      <alignment vertical="center"/>
    </xf>
    <xf numFmtId="0" fontId="0" fillId="35" borderId="57" xfId="0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58" xfId="0" applyFill="1" applyBorder="1" applyAlignment="1">
      <alignment vertical="center"/>
    </xf>
    <xf numFmtId="0" fontId="6" fillId="35" borderId="56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24" fillId="50" borderId="40" xfId="0" applyFont="1" applyFill="1" applyBorder="1" applyAlignment="1">
      <alignment horizontal="center" vertical="center" wrapText="1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31" fillId="35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51" borderId="40" xfId="0" applyFont="1" applyFill="1" applyBorder="1" applyAlignment="1" quotePrefix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15" fillId="0" borderId="0" xfId="0" applyFont="1" applyAlignment="1" quotePrefix="1">
      <alignment horizontal="center" vertical="center" wrapText="1"/>
    </xf>
    <xf numFmtId="0" fontId="15" fillId="47" borderId="58" xfId="0" applyFont="1" applyFill="1" applyBorder="1" applyAlignment="1">
      <alignment horizontal="left" vertical="center"/>
    </xf>
    <xf numFmtId="0" fontId="15" fillId="47" borderId="0" xfId="0" applyFont="1" applyFill="1" applyAlignment="1">
      <alignment horizontal="left" vertical="center"/>
    </xf>
    <xf numFmtId="0" fontId="15" fillId="47" borderId="0" xfId="0" applyFont="1" applyFill="1" applyAlignment="1">
      <alignment horizontal="right"/>
    </xf>
    <xf numFmtId="0" fontId="9" fillId="38" borderId="36" xfId="0" applyFont="1" applyFill="1" applyBorder="1" applyAlignment="1">
      <alignment vertical="center" wrapText="1"/>
    </xf>
    <xf numFmtId="0" fontId="4" fillId="0" borderId="13" xfId="45" applyFill="1" applyBorder="1" applyAlignment="1" applyProtection="1">
      <alignment horizontal="left" vertical="center"/>
      <protection/>
    </xf>
    <xf numFmtId="0" fontId="125" fillId="50" borderId="40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9" fillId="0" borderId="53" xfId="0" applyFont="1" applyBorder="1" applyAlignment="1">
      <alignment vertical="center"/>
    </xf>
    <xf numFmtId="0" fontId="29" fillId="0" borderId="53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53" xfId="0" applyFont="1" applyBorder="1" applyAlignment="1">
      <alignment vertical="center"/>
    </xf>
    <xf numFmtId="0" fontId="126" fillId="0" borderId="53" xfId="0" applyFont="1" applyBorder="1" applyAlignment="1">
      <alignment vertical="center" wrapText="1"/>
    </xf>
    <xf numFmtId="0" fontId="39" fillId="0" borderId="53" xfId="0" applyFont="1" applyBorder="1" applyAlignment="1">
      <alignment vertical="center" wrapText="1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8" borderId="53" xfId="0" applyFill="1" applyBorder="1" applyAlignment="1">
      <alignment horizontal="right" vertical="center"/>
    </xf>
    <xf numFmtId="0" fontId="6" fillId="38" borderId="60" xfId="0" applyFont="1" applyFill="1" applyBorder="1" applyAlignment="1">
      <alignment horizontal="right" vertical="center"/>
    </xf>
    <xf numFmtId="0" fontId="6" fillId="38" borderId="61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06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52" borderId="20" xfId="0" applyFont="1" applyFill="1" applyBorder="1" applyAlignment="1" quotePrefix="1">
      <alignment horizontal="right" vertical="center"/>
    </xf>
    <xf numFmtId="0" fontId="127" fillId="50" borderId="40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45" borderId="20" xfId="0" applyFont="1" applyFill="1" applyBorder="1" applyAlignment="1" quotePrefix="1">
      <alignment horizontal="right" vertical="center"/>
    </xf>
    <xf numFmtId="0" fontId="0" fillId="0" borderId="0" xfId="0" applyFont="1" applyAlignment="1">
      <alignment horizontal="center"/>
    </xf>
    <xf numFmtId="0" fontId="4" fillId="0" borderId="13" xfId="45" applyBorder="1" applyAlignment="1" applyProtection="1">
      <alignment horizontal="left" vertical="center"/>
      <protection/>
    </xf>
    <xf numFmtId="0" fontId="4" fillId="0" borderId="13" xfId="45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15" fillId="53" borderId="13" xfId="0" applyFont="1" applyFill="1" applyBorder="1" applyAlignment="1">
      <alignment vertical="center" wrapText="1"/>
    </xf>
    <xf numFmtId="0" fontId="15" fillId="53" borderId="13" xfId="0" applyFont="1" applyFill="1" applyBorder="1" applyAlignment="1">
      <alignment vertical="center"/>
    </xf>
    <xf numFmtId="0" fontId="15" fillId="53" borderId="13" xfId="0" applyFont="1" applyFill="1" applyBorder="1" applyAlignment="1">
      <alignment horizontal="center" vertical="center" wrapText="1"/>
    </xf>
    <xf numFmtId="0" fontId="34" fillId="53" borderId="13" xfId="0" applyFont="1" applyFill="1" applyBorder="1" applyAlignment="1">
      <alignment horizontal="center" vertical="center"/>
    </xf>
    <xf numFmtId="0" fontId="117" fillId="53" borderId="13" xfId="0" applyFont="1" applyFill="1" applyBorder="1" applyAlignment="1">
      <alignment horizontal="center" vertical="center"/>
    </xf>
    <xf numFmtId="0" fontId="15" fillId="53" borderId="13" xfId="0" applyFont="1" applyFill="1" applyBorder="1" applyAlignment="1">
      <alignment horizontal="center" vertical="center"/>
    </xf>
    <xf numFmtId="0" fontId="15" fillId="53" borderId="17" xfId="0" applyFont="1" applyFill="1" applyBorder="1" applyAlignment="1">
      <alignment horizontal="center" vertical="center"/>
    </xf>
    <xf numFmtId="0" fontId="15" fillId="53" borderId="26" xfId="0" applyFont="1" applyFill="1" applyBorder="1" applyAlignment="1">
      <alignment vertical="center" wrapText="1"/>
    </xf>
    <xf numFmtId="0" fontId="15" fillId="53" borderId="26" xfId="0" applyFont="1" applyFill="1" applyBorder="1" applyAlignment="1">
      <alignment horizontal="center" vertical="center" wrapText="1"/>
    </xf>
    <xf numFmtId="0" fontId="34" fillId="53" borderId="26" xfId="0" applyFont="1" applyFill="1" applyBorder="1" applyAlignment="1">
      <alignment horizontal="center" vertical="center"/>
    </xf>
    <xf numFmtId="0" fontId="15" fillId="53" borderId="26" xfId="0" applyFont="1" applyFill="1" applyBorder="1" applyAlignment="1">
      <alignment horizontal="center" vertical="center"/>
    </xf>
    <xf numFmtId="0" fontId="15" fillId="53" borderId="35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29" fillId="35" borderId="13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 wrapText="1"/>
      <protection/>
    </xf>
    <xf numFmtId="0" fontId="23" fillId="35" borderId="64" xfId="0" applyFont="1" applyFill="1" applyBorder="1" applyAlignment="1" applyProtection="1">
      <alignment horizontal="center" vertical="center" wrapText="1"/>
      <protection/>
    </xf>
    <xf numFmtId="0" fontId="23" fillId="35" borderId="65" xfId="0" applyFont="1" applyFill="1" applyBorder="1" applyAlignment="1" applyProtection="1">
      <alignment horizontal="center" vertical="center" wrapText="1"/>
      <protection/>
    </xf>
    <xf numFmtId="0" fontId="119" fillId="33" borderId="13" xfId="0" applyFont="1" applyFill="1" applyBorder="1" applyAlignment="1" applyProtection="1">
      <alignment horizontal="center" vertical="center"/>
      <protection/>
    </xf>
    <xf numFmtId="0" fontId="0" fillId="49" borderId="0" xfId="0" applyFont="1" applyFill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3" fillId="0" borderId="48" xfId="0" applyFont="1" applyBorder="1" applyAlignment="1">
      <alignment horizontal="left" vertical="center" wrapText="1"/>
    </xf>
    <xf numFmtId="0" fontId="119" fillId="35" borderId="13" xfId="0" applyNumberFormat="1" applyFont="1" applyFill="1" applyBorder="1" applyAlignment="1" applyProtection="1">
      <alignment horizontal="center" vertical="center"/>
      <protection/>
    </xf>
    <xf numFmtId="0" fontId="0" fillId="54" borderId="48" xfId="0" applyFill="1" applyBorder="1" applyAlignment="1">
      <alignment horizontal="left" vertical="center" wrapText="1"/>
    </xf>
    <xf numFmtId="0" fontId="0" fillId="46" borderId="48" xfId="0" applyFont="1" applyFill="1" applyBorder="1" applyAlignment="1">
      <alignment horizontal="left" vertical="center" wrapText="1"/>
    </xf>
    <xf numFmtId="0" fontId="130" fillId="0" borderId="0" xfId="0" applyFont="1" applyFill="1" applyBorder="1" applyAlignment="1">
      <alignment horizontal="center" vertical="center"/>
    </xf>
    <xf numFmtId="0" fontId="0" fillId="55" borderId="38" xfId="0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 wrapText="1"/>
    </xf>
    <xf numFmtId="0" fontId="0" fillId="47" borderId="18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56" borderId="38" xfId="0" applyFont="1" applyFill="1" applyBorder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55" borderId="38" xfId="52" applyFont="1" applyFill="1" applyBorder="1" applyAlignment="1">
      <alignment horizontal="center" vertical="center" wrapText="1"/>
      <protection/>
    </xf>
    <xf numFmtId="0" fontId="0" fillId="55" borderId="18" xfId="52" applyFont="1" applyFill="1" applyBorder="1" applyAlignment="1">
      <alignment horizontal="center" vertical="center" wrapText="1"/>
      <protection/>
    </xf>
    <xf numFmtId="0" fontId="0" fillId="55" borderId="20" xfId="52" applyFont="1" applyFill="1" applyBorder="1" applyAlignment="1">
      <alignment horizontal="center" vertical="center" wrapText="1"/>
      <protection/>
    </xf>
    <xf numFmtId="0" fontId="0" fillId="3" borderId="3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55" borderId="36" xfId="52" applyFont="1" applyFill="1" applyBorder="1" applyAlignment="1">
      <alignment horizontal="center" vertical="center" wrapText="1"/>
      <protection/>
    </xf>
    <xf numFmtId="0" fontId="0" fillId="19" borderId="36" xfId="0" applyFont="1" applyFill="1" applyBorder="1" applyAlignment="1">
      <alignment horizontal="center" vertical="center" wrapText="1"/>
    </xf>
    <xf numFmtId="0" fontId="0" fillId="54" borderId="38" xfId="0" applyFont="1" applyFill="1" applyBorder="1" applyAlignment="1">
      <alignment horizontal="center" vertical="center" wrapText="1"/>
    </xf>
    <xf numFmtId="0" fontId="0" fillId="54" borderId="18" xfId="0" applyFont="1" applyFill="1" applyBorder="1" applyAlignment="1">
      <alignment horizontal="center" vertical="center" wrapText="1"/>
    </xf>
    <xf numFmtId="0" fontId="0" fillId="54" borderId="20" xfId="0" applyFont="1" applyFill="1" applyBorder="1" applyAlignment="1">
      <alignment horizontal="center" vertical="center" wrapText="1"/>
    </xf>
    <xf numFmtId="0" fontId="131" fillId="35" borderId="0" xfId="0" applyFont="1" applyFill="1" applyAlignment="1">
      <alignment horizontal="center" vertical="center"/>
    </xf>
    <xf numFmtId="0" fontId="18" fillId="35" borderId="23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0" fontId="11" fillId="35" borderId="66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32" fillId="35" borderId="39" xfId="0" applyFont="1" applyFill="1" applyBorder="1" applyAlignment="1">
      <alignment horizontal="center" vertical="center" wrapText="1"/>
    </xf>
    <xf numFmtId="0" fontId="132" fillId="35" borderId="16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35" borderId="67" xfId="0" applyFont="1" applyFill="1" applyBorder="1" applyAlignment="1">
      <alignment horizontal="center" vertical="center" wrapText="1"/>
    </xf>
    <xf numFmtId="0" fontId="134" fillId="35" borderId="65" xfId="0" applyFont="1" applyFill="1" applyBorder="1" applyAlignment="1">
      <alignment horizontal="center" vertical="center" wrapText="1"/>
    </xf>
    <xf numFmtId="0" fontId="134" fillId="35" borderId="68" xfId="0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8" fillId="35" borderId="65" xfId="0" applyFont="1" applyFill="1" applyBorder="1" applyAlignment="1">
      <alignment horizontal="center" vertical="center" wrapText="1"/>
    </xf>
    <xf numFmtId="0" fontId="25" fillId="35" borderId="70" xfId="0" applyFont="1" applyFill="1" applyBorder="1" applyAlignment="1">
      <alignment horizontal="center" vertical="center" wrapText="1"/>
    </xf>
    <xf numFmtId="0" fontId="25" fillId="35" borderId="7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center" wrapText="1"/>
    </xf>
    <xf numFmtId="0" fontId="25" fillId="35" borderId="73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6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 wrapText="1"/>
    </xf>
    <xf numFmtId="0" fontId="132" fillId="35" borderId="22" xfId="0" applyFont="1" applyFill="1" applyBorder="1" applyAlignment="1">
      <alignment horizontal="center" vertical="center" wrapText="1"/>
    </xf>
    <xf numFmtId="0" fontId="132" fillId="35" borderId="30" xfId="0" applyFont="1" applyFill="1" applyBorder="1" applyAlignment="1">
      <alignment horizontal="center" vertical="center" wrapText="1"/>
    </xf>
    <xf numFmtId="0" fontId="133" fillId="35" borderId="23" xfId="0" applyFont="1" applyFill="1" applyBorder="1" applyAlignment="1">
      <alignment horizontal="center" vertical="center" wrapText="1"/>
    </xf>
    <xf numFmtId="0" fontId="134" fillId="35" borderId="23" xfId="0" applyFont="1" applyFill="1" applyBorder="1" applyAlignment="1">
      <alignment horizontal="center" vertical="center" wrapText="1"/>
    </xf>
    <xf numFmtId="0" fontId="134" fillId="35" borderId="31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wrapText="1"/>
    </xf>
    <xf numFmtId="0" fontId="0" fillId="19" borderId="18" xfId="0" applyFont="1" applyFill="1" applyBorder="1" applyAlignment="1">
      <alignment horizontal="center" wrapText="1"/>
    </xf>
    <xf numFmtId="0" fontId="0" fillId="19" borderId="20" xfId="0" applyFont="1" applyFill="1" applyBorder="1" applyAlignment="1">
      <alignment horizontal="center" wrapText="1"/>
    </xf>
    <xf numFmtId="0" fontId="6" fillId="19" borderId="38" xfId="0" applyFont="1" applyFill="1" applyBorder="1" applyAlignment="1">
      <alignment horizontal="center" vertical="center" wrapText="1"/>
    </xf>
    <xf numFmtId="0" fontId="0" fillId="57" borderId="38" xfId="0" applyFont="1" applyFill="1" applyBorder="1" applyAlignment="1">
      <alignment horizontal="center" vertical="center" wrapText="1"/>
    </xf>
    <xf numFmtId="0" fontId="0" fillId="57" borderId="18" xfId="0" applyFont="1" applyFill="1" applyBorder="1" applyAlignment="1">
      <alignment horizontal="center" vertical="center" wrapText="1"/>
    </xf>
    <xf numFmtId="0" fontId="0" fillId="57" borderId="20" xfId="0" applyFont="1" applyFill="1" applyBorder="1" applyAlignment="1">
      <alignment horizontal="center" vertical="center" wrapText="1"/>
    </xf>
    <xf numFmtId="0" fontId="0" fillId="47" borderId="18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33" fillId="50" borderId="18" xfId="52" applyFont="1" applyFill="1" applyBorder="1" applyAlignment="1">
      <alignment horizontal="center" vertical="center" wrapText="1"/>
      <protection/>
    </xf>
    <xf numFmtId="0" fontId="135" fillId="50" borderId="18" xfId="52" applyFont="1" applyFill="1" applyBorder="1" applyAlignment="1">
      <alignment horizontal="center" vertical="center" wrapText="1"/>
      <protection/>
    </xf>
    <xf numFmtId="0" fontId="124" fillId="50" borderId="38" xfId="0" applyFont="1" applyFill="1" applyBorder="1" applyAlignment="1">
      <alignment horizontal="center" vertical="center" wrapText="1"/>
    </xf>
    <xf numFmtId="0" fontId="124" fillId="50" borderId="18" xfId="0" applyFont="1" applyFill="1" applyBorder="1" applyAlignment="1">
      <alignment horizontal="center" vertical="center" wrapText="1"/>
    </xf>
    <xf numFmtId="0" fontId="124" fillId="50" borderId="20" xfId="0" applyFont="1" applyFill="1" applyBorder="1" applyAlignment="1">
      <alignment horizontal="center" vertical="center" wrapText="1"/>
    </xf>
    <xf numFmtId="0" fontId="39" fillId="19" borderId="38" xfId="0" applyFont="1" applyFill="1" applyBorder="1" applyAlignment="1">
      <alignment horizontal="center" vertical="center" wrapText="1"/>
    </xf>
    <xf numFmtId="0" fontId="39" fillId="19" borderId="18" xfId="0" applyFont="1" applyFill="1" applyBorder="1" applyAlignment="1">
      <alignment horizontal="center" vertical="center" wrapText="1"/>
    </xf>
    <xf numFmtId="0" fontId="39" fillId="19" borderId="20" xfId="0" applyFont="1" applyFill="1" applyBorder="1" applyAlignment="1">
      <alignment horizontal="center" vertical="center" wrapText="1"/>
    </xf>
    <xf numFmtId="0" fontId="0" fillId="55" borderId="18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0" fillId="55" borderId="36" xfId="0" applyFont="1" applyFill="1" applyBorder="1" applyAlignment="1">
      <alignment horizontal="center" vertical="center" wrapText="1"/>
    </xf>
    <xf numFmtId="0" fontId="124" fillId="50" borderId="38" xfId="52" applyFont="1" applyFill="1" applyBorder="1" applyAlignment="1">
      <alignment horizontal="center" vertical="center" wrapText="1"/>
      <protection/>
    </xf>
    <xf numFmtId="0" fontId="124" fillId="50" borderId="18" xfId="52" applyFont="1" applyFill="1" applyBorder="1" applyAlignment="1">
      <alignment horizontal="center" vertical="center" wrapText="1"/>
      <protection/>
    </xf>
    <xf numFmtId="0" fontId="124" fillId="50" borderId="20" xfId="52" applyFont="1" applyFill="1" applyBorder="1" applyAlignment="1">
      <alignment horizontal="center" vertical="center" wrapText="1"/>
      <protection/>
    </xf>
    <xf numFmtId="0" fontId="0" fillId="55" borderId="1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32" fillId="50" borderId="3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6" fillId="38" borderId="38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9" xfId="0" applyFont="1" applyFill="1" applyBorder="1" applyAlignment="1">
      <alignment horizontal="center" vertical="center"/>
    </xf>
    <xf numFmtId="0" fontId="124" fillId="50" borderId="36" xfId="52" applyFont="1" applyFill="1" applyBorder="1" applyAlignment="1">
      <alignment horizontal="center" vertical="center" wrapText="1"/>
      <protection/>
    </xf>
    <xf numFmtId="0" fontId="106" fillId="0" borderId="28" xfId="0" applyFont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6" fillId="58" borderId="36" xfId="0" applyFont="1" applyFill="1" applyBorder="1" applyAlignment="1">
      <alignment horizontal="center" vertical="center"/>
    </xf>
    <xf numFmtId="0" fontId="136" fillId="58" borderId="18" xfId="0" applyFont="1" applyFill="1" applyBorder="1" applyAlignment="1">
      <alignment horizontal="center" vertical="center"/>
    </xf>
    <xf numFmtId="0" fontId="136" fillId="58" borderId="20" xfId="0" applyFont="1" applyFill="1" applyBorder="1" applyAlignment="1">
      <alignment horizontal="center" vertical="center"/>
    </xf>
    <xf numFmtId="0" fontId="136" fillId="58" borderId="38" xfId="0" applyFont="1" applyFill="1" applyBorder="1" applyAlignment="1">
      <alignment horizontal="center" vertical="center"/>
    </xf>
    <xf numFmtId="0" fontId="136" fillId="58" borderId="1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0" fillId="38" borderId="66" xfId="0" applyFont="1" applyFill="1" applyBorder="1" applyAlignment="1">
      <alignment horizontal="center" vertical="center"/>
    </xf>
    <xf numFmtId="0" fontId="40" fillId="38" borderId="54" xfId="0" applyFont="1" applyFill="1" applyBorder="1" applyAlignment="1">
      <alignment horizontal="center" vertical="center"/>
    </xf>
    <xf numFmtId="0" fontId="40" fillId="38" borderId="61" xfId="0" applyFont="1" applyFill="1" applyBorder="1" applyAlignment="1">
      <alignment horizontal="center" vertical="center"/>
    </xf>
    <xf numFmtId="0" fontId="40" fillId="38" borderId="59" xfId="0" applyFont="1" applyFill="1" applyBorder="1" applyAlignment="1">
      <alignment horizontal="center" vertical="center"/>
    </xf>
    <xf numFmtId="0" fontId="39" fillId="47" borderId="38" xfId="0" applyFont="1" applyFill="1" applyBorder="1" applyAlignment="1">
      <alignment horizontal="center" vertical="center" wrapText="1"/>
    </xf>
    <xf numFmtId="0" fontId="39" fillId="47" borderId="18" xfId="0" applyFont="1" applyFill="1" applyBorder="1" applyAlignment="1">
      <alignment horizontal="center" vertical="center" wrapText="1"/>
    </xf>
    <xf numFmtId="0" fontId="39" fillId="47" borderId="20" xfId="0" applyFont="1" applyFill="1" applyBorder="1" applyAlignment="1">
      <alignment horizontal="center" vertical="center" wrapText="1"/>
    </xf>
    <xf numFmtId="0" fontId="39" fillId="55" borderId="38" xfId="0" applyFont="1" applyFill="1" applyBorder="1" applyAlignment="1">
      <alignment horizontal="center" vertical="center" wrapText="1"/>
    </xf>
    <xf numFmtId="0" fontId="39" fillId="55" borderId="18" xfId="0" applyFont="1" applyFill="1" applyBorder="1" applyAlignment="1">
      <alignment horizontal="center" vertical="center" wrapText="1"/>
    </xf>
    <xf numFmtId="0" fontId="39" fillId="55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47" borderId="34" xfId="0" applyFont="1" applyFill="1" applyBorder="1" applyAlignment="1">
      <alignment horizontal="center" vertical="center" wrapText="1"/>
    </xf>
    <xf numFmtId="0" fontId="0" fillId="47" borderId="47" xfId="0" applyFont="1" applyFill="1" applyBorder="1" applyAlignment="1">
      <alignment horizontal="center" vertical="center" wrapText="1"/>
    </xf>
    <xf numFmtId="0" fontId="0" fillId="47" borderId="60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6" fillId="55" borderId="36" xfId="0" applyFont="1" applyFill="1" applyBorder="1" applyAlignment="1">
      <alignment horizontal="center" vertical="center" wrapText="1"/>
    </xf>
    <xf numFmtId="0" fontId="6" fillId="55" borderId="18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47" borderId="56" xfId="0" applyFont="1" applyFill="1" applyBorder="1" applyAlignment="1">
      <alignment horizontal="center" vertical="center" wrapText="1"/>
    </xf>
    <xf numFmtId="0" fontId="0" fillId="47" borderId="28" xfId="0" applyFont="1" applyFill="1" applyBorder="1" applyAlignment="1">
      <alignment horizontal="center" vertical="center" wrapText="1"/>
    </xf>
    <xf numFmtId="0" fontId="0" fillId="47" borderId="59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55" borderId="38" xfId="0" applyFont="1" applyFill="1" applyBorder="1" applyAlignment="1">
      <alignment horizontal="center" vertical="center" wrapText="1"/>
    </xf>
    <xf numFmtId="0" fontId="0" fillId="19" borderId="30" xfId="0" applyFont="1" applyFill="1" applyBorder="1" applyAlignment="1">
      <alignment horizontal="center" vertical="center"/>
    </xf>
    <xf numFmtId="0" fontId="0" fillId="19" borderId="46" xfId="0" applyFont="1" applyFill="1" applyBorder="1" applyAlignment="1">
      <alignment horizontal="center" vertical="center"/>
    </xf>
    <xf numFmtId="0" fontId="0" fillId="19" borderId="29" xfId="0" applyFont="1" applyFill="1" applyBorder="1" applyAlignment="1">
      <alignment horizontal="center" vertical="center"/>
    </xf>
    <xf numFmtId="0" fontId="6" fillId="55" borderId="66" xfId="0" applyFont="1" applyFill="1" applyBorder="1" applyAlignment="1">
      <alignment horizontal="center" vertical="center" wrapText="1"/>
    </xf>
    <xf numFmtId="0" fontId="6" fillId="55" borderId="53" xfId="0" applyFont="1" applyFill="1" applyBorder="1" applyAlignment="1">
      <alignment horizontal="center" vertical="center" wrapText="1"/>
    </xf>
    <xf numFmtId="0" fontId="6" fillId="55" borderId="54" xfId="0" applyFont="1" applyFill="1" applyBorder="1" applyAlignment="1">
      <alignment horizontal="center" vertical="center" wrapText="1"/>
    </xf>
    <xf numFmtId="0" fontId="6" fillId="55" borderId="61" xfId="0" applyFont="1" applyFill="1" applyBorder="1" applyAlignment="1">
      <alignment horizontal="center" vertical="center" wrapText="1"/>
    </xf>
    <xf numFmtId="0" fontId="6" fillId="55" borderId="28" xfId="0" applyFont="1" applyFill="1" applyBorder="1" applyAlignment="1">
      <alignment horizontal="center" vertical="center" wrapText="1"/>
    </xf>
    <xf numFmtId="0" fontId="6" fillId="55" borderId="59" xfId="0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 horizontal="center" vertical="center" wrapText="1"/>
    </xf>
    <xf numFmtId="0" fontId="0" fillId="47" borderId="46" xfId="0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0" fontId="6" fillId="38" borderId="66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6" fillId="38" borderId="61" xfId="0" applyFont="1" applyFill="1" applyBorder="1" applyAlignment="1">
      <alignment horizontal="center" vertical="center"/>
    </xf>
    <xf numFmtId="0" fontId="6" fillId="38" borderId="59" xfId="0" applyFont="1" applyFill="1" applyBorder="1" applyAlignment="1">
      <alignment horizontal="center" vertical="center"/>
    </xf>
    <xf numFmtId="0" fontId="125" fillId="50" borderId="55" xfId="0" applyFont="1" applyFill="1" applyBorder="1" applyAlignment="1">
      <alignment horizontal="center" vertical="center" wrapText="1"/>
    </xf>
    <xf numFmtId="0" fontId="125" fillId="50" borderId="40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0" fontId="0" fillId="19" borderId="7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55" borderId="52" xfId="0" applyFont="1" applyFill="1" applyBorder="1" applyAlignment="1">
      <alignment horizontal="center" vertical="center" wrapText="1"/>
    </xf>
    <xf numFmtId="0" fontId="0" fillId="55" borderId="53" xfId="0" applyFont="1" applyFill="1" applyBorder="1" applyAlignment="1">
      <alignment horizontal="center" vertical="center" wrapText="1"/>
    </xf>
    <xf numFmtId="0" fontId="0" fillId="55" borderId="54" xfId="0" applyFont="1" applyFill="1" applyBorder="1" applyAlignment="1">
      <alignment horizontal="center" vertical="center" wrapText="1"/>
    </xf>
    <xf numFmtId="0" fontId="0" fillId="55" borderId="56" xfId="0" applyFont="1" applyFill="1" applyBorder="1" applyAlignment="1">
      <alignment horizontal="center" vertical="center" wrapText="1"/>
    </xf>
    <xf numFmtId="0" fontId="0" fillId="55" borderId="28" xfId="0" applyFont="1" applyFill="1" applyBorder="1" applyAlignment="1">
      <alignment horizontal="center" vertical="center" wrapText="1"/>
    </xf>
    <xf numFmtId="0" fontId="0" fillId="55" borderId="5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53" xfId="0" applyFont="1" applyFill="1" applyBorder="1" applyAlignment="1">
      <alignment horizontal="center" vertical="center"/>
    </xf>
    <xf numFmtId="0" fontId="39" fillId="19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5" fillId="50" borderId="38" xfId="0" applyFont="1" applyFill="1" applyBorder="1" applyAlignment="1">
      <alignment horizontal="center" vertical="center" wrapText="1"/>
    </xf>
    <xf numFmtId="0" fontId="125" fillId="50" borderId="18" xfId="0" applyFont="1" applyFill="1" applyBorder="1" applyAlignment="1">
      <alignment horizontal="center" vertical="center" wrapText="1"/>
    </xf>
    <xf numFmtId="0" fontId="125" fillId="50" borderId="20" xfId="0" applyFont="1" applyFill="1" applyBorder="1" applyAlignment="1">
      <alignment horizontal="center" vertical="center" wrapText="1"/>
    </xf>
    <xf numFmtId="0" fontId="0" fillId="56" borderId="18" xfId="0" applyFont="1" applyFill="1" applyBorder="1" applyAlignment="1">
      <alignment horizontal="center" vertical="center" wrapText="1"/>
    </xf>
    <xf numFmtId="0" fontId="15" fillId="47" borderId="53" xfId="0" applyFont="1" applyFill="1" applyBorder="1" applyAlignment="1">
      <alignment horizontal="left" vertical="center"/>
    </xf>
    <xf numFmtId="0" fontId="15" fillId="47" borderId="57" xfId="0" applyFont="1" applyFill="1" applyBorder="1" applyAlignment="1">
      <alignment horizontal="left" vertical="center"/>
    </xf>
    <xf numFmtId="0" fontId="16" fillId="47" borderId="63" xfId="0" applyFont="1" applyFill="1" applyBorder="1" applyAlignment="1">
      <alignment horizontal="center" vertical="center" wrapText="1"/>
    </xf>
    <xf numFmtId="0" fontId="16" fillId="47" borderId="12" xfId="0" applyFont="1" applyFill="1" applyBorder="1" applyAlignment="1">
      <alignment horizontal="center" vertical="center" wrapText="1"/>
    </xf>
    <xf numFmtId="0" fontId="15" fillId="47" borderId="0" xfId="0" applyFont="1" applyFill="1" applyAlignment="1">
      <alignment horizontal="left" vertical="center"/>
    </xf>
    <xf numFmtId="0" fontId="15" fillId="47" borderId="58" xfId="0" applyFont="1" applyFill="1" applyBorder="1" applyAlignment="1">
      <alignment horizontal="left" vertical="center"/>
    </xf>
    <xf numFmtId="0" fontId="15" fillId="47" borderId="0" xfId="0" applyFont="1" applyFill="1" applyBorder="1" applyAlignment="1">
      <alignment horizontal="left" vertical="center"/>
    </xf>
    <xf numFmtId="0" fontId="15" fillId="47" borderId="50" xfId="0" applyFont="1" applyFill="1" applyBorder="1" applyAlignment="1">
      <alignment horizontal="left" vertical="center"/>
    </xf>
    <xf numFmtId="0" fontId="15" fillId="47" borderId="72" xfId="0" applyFont="1" applyFill="1" applyBorder="1" applyAlignment="1">
      <alignment horizontal="left" vertical="center"/>
    </xf>
    <xf numFmtId="0" fontId="0" fillId="47" borderId="38" xfId="0" applyFont="1" applyFill="1" applyBorder="1" applyAlignment="1" quotePrefix="1">
      <alignment horizontal="center" vertical="center" wrapText="1"/>
    </xf>
    <xf numFmtId="0" fontId="0" fillId="47" borderId="18" xfId="0" applyFont="1" applyFill="1" applyBorder="1" applyAlignment="1" quotePrefix="1">
      <alignment horizontal="center" vertical="center" wrapText="1"/>
    </xf>
    <xf numFmtId="0" fontId="0" fillId="47" borderId="20" xfId="0" applyFont="1" applyFill="1" applyBorder="1" applyAlignment="1" quotePrefix="1">
      <alignment horizontal="center" vertical="center" wrapText="1"/>
    </xf>
    <xf numFmtId="0" fontId="114" fillId="47" borderId="0" xfId="0" applyFont="1" applyFill="1" applyAlignment="1">
      <alignment horizontal="center" vertical="center"/>
    </xf>
    <xf numFmtId="0" fontId="15" fillId="47" borderId="0" xfId="0" applyFont="1" applyFill="1" applyAlignment="1">
      <alignment horizontal="left" vertical="center" wrapText="1"/>
    </xf>
    <xf numFmtId="0" fontId="15" fillId="47" borderId="58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Pourcentage 3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7</xdr:row>
      <xdr:rowOff>38100</xdr:rowOff>
    </xdr:from>
    <xdr:to>
      <xdr:col>8</xdr:col>
      <xdr:colOff>190500</xdr:colOff>
      <xdr:row>7</xdr:row>
      <xdr:rowOff>333375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8288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uhela.kbs@gmail.com" TargetMode="External" /><Relationship Id="rId2" Type="http://schemas.openxmlformats.org/officeDocument/2006/relationships/hyperlink" Target="mailto:agathe.delcommune@gmail.com" TargetMode="External" /><Relationship Id="rId3" Type="http://schemas.openxmlformats.org/officeDocument/2006/relationships/hyperlink" Target="mailto:marame.cobar@gmail.com" TargetMode="External" /><Relationship Id="rId4" Type="http://schemas.openxmlformats.org/officeDocument/2006/relationships/hyperlink" Target="mailto:christophe.crevet@ecolab.com" TargetMode="External" /><Relationship Id="rId5" Type="http://schemas.openxmlformats.org/officeDocument/2006/relationships/hyperlink" Target="mailto:hugues.bruchet@cea.fr" TargetMode="External" /><Relationship Id="rId6" Type="http://schemas.openxmlformats.org/officeDocument/2006/relationships/hyperlink" Target="mailto:celiolhelgoualch@hotmail.fr" TargetMode="External" /><Relationship Id="rId7" Type="http://schemas.openxmlformats.org/officeDocument/2006/relationships/hyperlink" Target="mailto:victoria.barre232@icloud.com" TargetMode="External" /><Relationship Id="rId8" Type="http://schemas.openxmlformats.org/officeDocument/2006/relationships/hyperlink" Target="mailto:achomaud@groupecarso.co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3"/>
  <sheetViews>
    <sheetView zoomScalePageLayoutView="0" workbookViewId="0" topLeftCell="A16">
      <selection activeCell="F61" sqref="F61"/>
    </sheetView>
  </sheetViews>
  <sheetFormatPr defaultColWidth="11.57421875" defaultRowHeight="12.75"/>
  <cols>
    <col min="1" max="1" width="8.28125" style="8" customWidth="1"/>
    <col min="2" max="2" width="14.140625" style="150" customWidth="1"/>
    <col min="3" max="3" width="55.28125" style="18" customWidth="1"/>
    <col min="4" max="4" width="8.28125" style="8" customWidth="1"/>
    <col min="5" max="5" width="8.28125" style="15" customWidth="1"/>
    <col min="6" max="8" width="8.28125" style="8" customWidth="1"/>
    <col min="9" max="9" width="11.7109375" style="8" customWidth="1"/>
    <col min="10" max="10" width="8.28125" style="8" customWidth="1"/>
    <col min="11" max="249" width="11.57421875" style="8" customWidth="1"/>
    <col min="250" max="16384" width="11.57421875" style="107" customWidth="1"/>
  </cols>
  <sheetData>
    <row r="1" spans="1:10" ht="21" thickBot="1">
      <c r="A1" s="2"/>
      <c r="B1" s="111"/>
      <c r="C1" s="21"/>
      <c r="D1" s="3"/>
      <c r="E1" s="3"/>
      <c r="F1" s="3"/>
      <c r="G1" s="3"/>
      <c r="H1" s="3"/>
      <c r="I1" s="3"/>
      <c r="J1" s="3"/>
    </row>
    <row r="2" spans="1:10" ht="21" thickBot="1">
      <c r="A2" s="288"/>
      <c r="B2" s="515" t="s">
        <v>0</v>
      </c>
      <c r="C2" s="516"/>
      <c r="D2" s="516"/>
      <c r="E2" s="516"/>
      <c r="F2" s="516"/>
      <c r="G2" s="516"/>
      <c r="H2" s="516"/>
      <c r="I2" s="516"/>
      <c r="J2" s="517"/>
    </row>
    <row r="3" spans="1:10" ht="26.25" thickBot="1">
      <c r="A3" s="288"/>
      <c r="B3" s="268"/>
      <c r="C3" s="269"/>
      <c r="D3" s="270" t="s">
        <v>1</v>
      </c>
      <c r="E3" s="270" t="s">
        <v>2</v>
      </c>
      <c r="F3" s="270" t="s">
        <v>16</v>
      </c>
      <c r="G3" s="270" t="s">
        <v>42</v>
      </c>
      <c r="H3" s="270" t="s">
        <v>3</v>
      </c>
      <c r="I3" s="289" t="s">
        <v>222</v>
      </c>
      <c r="J3" s="271" t="s">
        <v>4</v>
      </c>
    </row>
    <row r="4" spans="1:10" ht="27" customHeight="1">
      <c r="A4" s="518" t="s">
        <v>5</v>
      </c>
      <c r="B4" s="114" t="s">
        <v>229</v>
      </c>
      <c r="C4" s="115" t="s">
        <v>97</v>
      </c>
      <c r="D4" s="117">
        <f>SUM(E4:H4)</f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264">
        <v>27</v>
      </c>
    </row>
    <row r="5" spans="1:10" ht="12.75" customHeight="1" thickBot="1">
      <c r="A5" s="519"/>
      <c r="B5" s="120" t="s">
        <v>230</v>
      </c>
      <c r="C5" s="121" t="s">
        <v>82</v>
      </c>
      <c r="D5" s="123">
        <f>SUM(E5:H5)</f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265">
        <v>3</v>
      </c>
    </row>
    <row r="6" spans="1:249" s="295" customFormat="1" ht="12.75" customHeight="1" thickBot="1">
      <c r="A6" s="290"/>
      <c r="B6" s="291"/>
      <c r="C6" s="292"/>
      <c r="D6" s="293"/>
      <c r="E6" s="294"/>
      <c r="F6" s="294"/>
      <c r="G6" s="294"/>
      <c r="H6" s="294"/>
      <c r="I6" s="294"/>
      <c r="J6" s="294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  <c r="FL6" s="275"/>
      <c r="FM6" s="275"/>
      <c r="FN6" s="275"/>
      <c r="FO6" s="275"/>
      <c r="FP6" s="275"/>
      <c r="FQ6" s="275"/>
      <c r="FR6" s="275"/>
      <c r="FS6" s="275"/>
      <c r="FT6" s="275"/>
      <c r="FU6" s="275"/>
      <c r="FV6" s="275"/>
      <c r="FW6" s="275"/>
      <c r="FX6" s="275"/>
      <c r="FY6" s="275"/>
      <c r="FZ6" s="275"/>
      <c r="GA6" s="275"/>
      <c r="GB6" s="275"/>
      <c r="GC6" s="275"/>
      <c r="GD6" s="275"/>
      <c r="GE6" s="275"/>
      <c r="GF6" s="275"/>
      <c r="GG6" s="275"/>
      <c r="GH6" s="275"/>
      <c r="GI6" s="275"/>
      <c r="GJ6" s="275"/>
      <c r="GK6" s="275"/>
      <c r="GL6" s="275"/>
      <c r="GM6" s="275"/>
      <c r="GN6" s="275"/>
      <c r="GO6" s="275"/>
      <c r="GP6" s="275"/>
      <c r="GQ6" s="275"/>
      <c r="GR6" s="275"/>
      <c r="GS6" s="275"/>
      <c r="GT6" s="275"/>
      <c r="GU6" s="275"/>
      <c r="GV6" s="275"/>
      <c r="GW6" s="275"/>
      <c r="GX6" s="275"/>
      <c r="GY6" s="275"/>
      <c r="GZ6" s="275"/>
      <c r="HA6" s="275"/>
      <c r="HB6" s="275"/>
      <c r="HC6" s="275"/>
      <c r="HD6" s="275"/>
      <c r="HE6" s="275"/>
      <c r="HF6" s="275"/>
      <c r="HG6" s="275"/>
      <c r="HH6" s="275"/>
      <c r="HI6" s="275"/>
      <c r="HJ6" s="275"/>
      <c r="HK6" s="275"/>
      <c r="HL6" s="275"/>
      <c r="HM6" s="275"/>
      <c r="HN6" s="275"/>
      <c r="HO6" s="275"/>
      <c r="HP6" s="275"/>
      <c r="HQ6" s="275"/>
      <c r="HR6" s="275"/>
      <c r="HS6" s="275"/>
      <c r="HT6" s="275"/>
      <c r="HU6" s="275"/>
      <c r="HV6" s="275"/>
      <c r="HW6" s="275"/>
      <c r="HX6" s="275"/>
      <c r="HY6" s="275"/>
      <c r="HZ6" s="275"/>
      <c r="IA6" s="275"/>
      <c r="IB6" s="275"/>
      <c r="IC6" s="275"/>
      <c r="ID6" s="275"/>
      <c r="IE6" s="275"/>
      <c r="IF6" s="275"/>
      <c r="IG6" s="275"/>
      <c r="IH6" s="275"/>
      <c r="II6" s="275"/>
      <c r="IJ6" s="275"/>
      <c r="IK6" s="275"/>
      <c r="IL6" s="275"/>
      <c r="IM6" s="275"/>
      <c r="IN6" s="275"/>
      <c r="IO6" s="275"/>
    </row>
    <row r="7" spans="1:249" ht="12.75" customHeight="1">
      <c r="A7" s="518" t="s">
        <v>7</v>
      </c>
      <c r="B7" s="128" t="s">
        <v>225</v>
      </c>
      <c r="C7" s="115" t="s">
        <v>8</v>
      </c>
      <c r="D7" s="117">
        <f aca="true" t="shared" si="0" ref="D7:D16">SUM(E7:I7)</f>
        <v>91</v>
      </c>
      <c r="E7" s="117">
        <f>E8+E9+E10+E11+E16</f>
        <v>0</v>
      </c>
      <c r="F7" s="117">
        <f>F8+F9+F10+F11+F16+F17</f>
        <v>73</v>
      </c>
      <c r="G7" s="117">
        <f>G8+G9+G10+G11+G16+G17</f>
        <v>0</v>
      </c>
      <c r="H7" s="117">
        <f>H8+H9+H10+H11+H16+H17</f>
        <v>14</v>
      </c>
      <c r="I7" s="117">
        <f>I8+I9+I10+I11+I16+I17</f>
        <v>4</v>
      </c>
      <c r="J7" s="264">
        <v>6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</row>
    <row r="8" spans="1:10" ht="13.5" customHeight="1">
      <c r="A8" s="520"/>
      <c r="B8" s="133" t="s">
        <v>249</v>
      </c>
      <c r="C8" s="134" t="s">
        <v>49</v>
      </c>
      <c r="D8" s="137">
        <f t="shared" si="0"/>
        <v>12</v>
      </c>
      <c r="E8" s="262">
        <v>0</v>
      </c>
      <c r="F8" s="262">
        <v>12</v>
      </c>
      <c r="G8" s="138">
        <v>0</v>
      </c>
      <c r="H8" s="138">
        <v>0</v>
      </c>
      <c r="I8" s="139">
        <v>0</v>
      </c>
      <c r="J8" s="283"/>
    </row>
    <row r="9" spans="1:249" s="108" customFormat="1" ht="13.5" customHeight="1">
      <c r="A9" s="520"/>
      <c r="B9" s="133" t="s">
        <v>250</v>
      </c>
      <c r="C9" s="134" t="s">
        <v>50</v>
      </c>
      <c r="D9" s="137">
        <f t="shared" si="0"/>
        <v>20</v>
      </c>
      <c r="E9" s="138">
        <v>0</v>
      </c>
      <c r="F9" s="262">
        <v>16</v>
      </c>
      <c r="G9" s="138">
        <v>0</v>
      </c>
      <c r="H9" s="138">
        <v>0</v>
      </c>
      <c r="I9" s="139">
        <v>4</v>
      </c>
      <c r="J9" s="28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10" ht="12.75" customHeight="1">
      <c r="A10" s="520"/>
      <c r="B10" s="133" t="s">
        <v>251</v>
      </c>
      <c r="C10" s="134" t="s">
        <v>51</v>
      </c>
      <c r="D10" s="137">
        <f t="shared" si="0"/>
        <v>4</v>
      </c>
      <c r="E10" s="138">
        <v>0</v>
      </c>
      <c r="F10" s="262">
        <v>4</v>
      </c>
      <c r="G10" s="138">
        <v>0</v>
      </c>
      <c r="H10" s="138">
        <v>0</v>
      </c>
      <c r="I10" s="139">
        <v>0</v>
      </c>
      <c r="J10" s="283"/>
    </row>
    <row r="11" spans="1:10" ht="12.75" customHeight="1">
      <c r="A11" s="520"/>
      <c r="B11" s="133" t="s">
        <v>252</v>
      </c>
      <c r="C11" s="134" t="s">
        <v>52</v>
      </c>
      <c r="D11" s="137">
        <f t="shared" si="0"/>
        <v>37</v>
      </c>
      <c r="E11" s="138">
        <f>SUM(E12:E15)</f>
        <v>0</v>
      </c>
      <c r="F11" s="138">
        <f>SUM(F12:F15)</f>
        <v>37</v>
      </c>
      <c r="G11" s="138">
        <f>SUM(G12:G15)</f>
        <v>0</v>
      </c>
      <c r="H11" s="138">
        <f>SUM(H12:H15)</f>
        <v>0</v>
      </c>
      <c r="I11" s="139">
        <v>0</v>
      </c>
      <c r="J11" s="283"/>
    </row>
    <row r="12" spans="1:10" ht="12.75" customHeight="1">
      <c r="A12" s="520"/>
      <c r="B12" s="141"/>
      <c r="C12" s="142" t="s">
        <v>79</v>
      </c>
      <c r="D12" s="261">
        <f t="shared" si="0"/>
        <v>7</v>
      </c>
      <c r="E12" s="30">
        <v>0</v>
      </c>
      <c r="F12" s="263">
        <v>7</v>
      </c>
      <c r="G12" s="30">
        <v>0</v>
      </c>
      <c r="H12" s="30">
        <v>0</v>
      </c>
      <c r="I12" s="31">
        <v>0</v>
      </c>
      <c r="J12" s="283"/>
    </row>
    <row r="13" spans="1:10" ht="25.5" customHeight="1">
      <c r="A13" s="520"/>
      <c r="B13" s="141"/>
      <c r="C13" s="142" t="s">
        <v>78</v>
      </c>
      <c r="D13" s="261">
        <f t="shared" si="0"/>
        <v>12</v>
      </c>
      <c r="E13" s="30">
        <v>0</v>
      </c>
      <c r="F13" s="263">
        <v>12</v>
      </c>
      <c r="G13" s="30">
        <v>0</v>
      </c>
      <c r="H13" s="30">
        <v>0</v>
      </c>
      <c r="I13" s="31">
        <v>0</v>
      </c>
      <c r="J13" s="283"/>
    </row>
    <row r="14" spans="1:10" ht="12.75" customHeight="1">
      <c r="A14" s="520"/>
      <c r="B14" s="141"/>
      <c r="C14" s="142" t="s">
        <v>77</v>
      </c>
      <c r="D14" s="261">
        <f t="shared" si="0"/>
        <v>10</v>
      </c>
      <c r="E14" s="30">
        <v>0</v>
      </c>
      <c r="F14" s="263">
        <v>10</v>
      </c>
      <c r="G14" s="30">
        <v>0</v>
      </c>
      <c r="H14" s="30">
        <v>0</v>
      </c>
      <c r="I14" s="31">
        <v>0</v>
      </c>
      <c r="J14" s="283"/>
    </row>
    <row r="15" spans="1:10" ht="12.75" customHeight="1">
      <c r="A15" s="520"/>
      <c r="B15" s="141"/>
      <c r="C15" s="142" t="s">
        <v>76</v>
      </c>
      <c r="D15" s="261">
        <f t="shared" si="0"/>
        <v>8</v>
      </c>
      <c r="E15" s="30">
        <v>0</v>
      </c>
      <c r="F15" s="263">
        <v>8</v>
      </c>
      <c r="G15" s="30">
        <v>0</v>
      </c>
      <c r="H15" s="30">
        <v>0</v>
      </c>
      <c r="I15" s="31">
        <v>0</v>
      </c>
      <c r="J15" s="283"/>
    </row>
    <row r="16" spans="1:249" s="109" customFormat="1" ht="12.75" customHeight="1">
      <c r="A16" s="520"/>
      <c r="B16" s="133" t="s">
        <v>253</v>
      </c>
      <c r="C16" s="134" t="s">
        <v>53</v>
      </c>
      <c r="D16" s="137">
        <f t="shared" si="0"/>
        <v>14</v>
      </c>
      <c r="E16" s="138">
        <v>0</v>
      </c>
      <c r="F16" s="138">
        <v>0</v>
      </c>
      <c r="G16" s="138">
        <v>0</v>
      </c>
      <c r="H16" s="266">
        <v>14</v>
      </c>
      <c r="I16" s="139">
        <v>0</v>
      </c>
      <c r="J16" s="28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49" ht="12.75" customHeight="1">
      <c r="A17" s="520"/>
      <c r="B17" s="133" t="s">
        <v>254</v>
      </c>
      <c r="C17" s="144" t="s">
        <v>44</v>
      </c>
      <c r="D17" s="147">
        <f>D18+D19</f>
        <v>4</v>
      </c>
      <c r="E17" s="147">
        <f>E18+E19</f>
        <v>0</v>
      </c>
      <c r="F17" s="147">
        <f>SUM(F18:F19)</f>
        <v>4</v>
      </c>
      <c r="G17" s="147">
        <f>G18+G19</f>
        <v>0</v>
      </c>
      <c r="H17" s="147">
        <f>H18+H19</f>
        <v>0</v>
      </c>
      <c r="I17" s="148">
        <v>0</v>
      </c>
      <c r="J17" s="283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</row>
    <row r="18" spans="1:10" ht="12.75" customHeight="1">
      <c r="A18" s="520"/>
      <c r="B18" s="141"/>
      <c r="C18" s="29" t="s">
        <v>106</v>
      </c>
      <c r="D18" s="261">
        <f>SUM(E18:H18)</f>
        <v>2</v>
      </c>
      <c r="E18" s="30">
        <v>0</v>
      </c>
      <c r="F18" s="263">
        <v>2</v>
      </c>
      <c r="G18" s="30">
        <v>0</v>
      </c>
      <c r="H18" s="30">
        <v>0</v>
      </c>
      <c r="I18" s="32">
        <v>0</v>
      </c>
      <c r="J18" s="284"/>
    </row>
    <row r="19" spans="1:10" ht="12.75" customHeight="1">
      <c r="A19" s="520"/>
      <c r="B19" s="141"/>
      <c r="C19" s="29" t="s">
        <v>108</v>
      </c>
      <c r="D19" s="261">
        <f>SUM(E19:H19)</f>
        <v>2</v>
      </c>
      <c r="E19" s="30">
        <v>0</v>
      </c>
      <c r="F19" s="263">
        <v>2</v>
      </c>
      <c r="G19" s="30">
        <v>0</v>
      </c>
      <c r="H19" s="30">
        <v>0</v>
      </c>
      <c r="I19" s="32">
        <v>0</v>
      </c>
      <c r="J19" s="284"/>
    </row>
    <row r="20" spans="1:10" ht="12.75" customHeight="1">
      <c r="A20" s="520"/>
      <c r="B20" s="245" t="s">
        <v>255</v>
      </c>
      <c r="C20" s="244" t="s">
        <v>241</v>
      </c>
      <c r="D20" s="246"/>
      <c r="E20" s="246"/>
      <c r="F20" s="246"/>
      <c r="G20" s="246"/>
      <c r="H20" s="247"/>
      <c r="I20" s="248"/>
      <c r="J20" s="284"/>
    </row>
    <row r="21" spans="1:249" ht="15">
      <c r="A21" s="520"/>
      <c r="B21" s="151" t="s">
        <v>226</v>
      </c>
      <c r="C21" s="152" t="s">
        <v>9</v>
      </c>
      <c r="D21" s="154">
        <f aca="true" t="shared" si="1" ref="D21:I21">D22+D25+D26+D27+D28+D35+D40</f>
        <v>103</v>
      </c>
      <c r="E21" s="154">
        <f t="shared" si="1"/>
        <v>0</v>
      </c>
      <c r="F21" s="154">
        <f t="shared" si="1"/>
        <v>81</v>
      </c>
      <c r="G21" s="154">
        <f t="shared" si="1"/>
        <v>0</v>
      </c>
      <c r="H21" s="154">
        <f t="shared" si="1"/>
        <v>15</v>
      </c>
      <c r="I21" s="154">
        <f t="shared" si="1"/>
        <v>7</v>
      </c>
      <c r="J21" s="285">
        <v>6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</row>
    <row r="22" spans="1:10" ht="12.75" customHeight="1">
      <c r="A22" s="520"/>
      <c r="B22" s="133" t="s">
        <v>256</v>
      </c>
      <c r="C22" s="134" t="s">
        <v>11</v>
      </c>
      <c r="D22" s="137">
        <f aca="true" t="shared" si="2" ref="D22:I22">SUM(D23:D24)</f>
        <v>5</v>
      </c>
      <c r="E22" s="137">
        <f t="shared" si="2"/>
        <v>0</v>
      </c>
      <c r="F22" s="137">
        <f t="shared" si="2"/>
        <v>5</v>
      </c>
      <c r="G22" s="137">
        <f t="shared" si="2"/>
        <v>0</v>
      </c>
      <c r="H22" s="137">
        <f t="shared" si="2"/>
        <v>0</v>
      </c>
      <c r="I22" s="156">
        <f t="shared" si="2"/>
        <v>0</v>
      </c>
      <c r="J22" s="283"/>
    </row>
    <row r="23" spans="1:249" s="108" customFormat="1" ht="12.75" customHeight="1">
      <c r="A23" s="520"/>
      <c r="B23" s="141"/>
      <c r="C23" s="29" t="s">
        <v>111</v>
      </c>
      <c r="D23" s="261">
        <f>SUM(E23:I23)</f>
        <v>4</v>
      </c>
      <c r="E23" s="30">
        <v>0</v>
      </c>
      <c r="F23" s="263">
        <v>4</v>
      </c>
      <c r="G23" s="30">
        <v>0</v>
      </c>
      <c r="H23" s="30">
        <v>0</v>
      </c>
      <c r="I23" s="31">
        <v>0</v>
      </c>
      <c r="J23" s="28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10" ht="12.75" customHeight="1">
      <c r="A24" s="520"/>
      <c r="B24" s="141"/>
      <c r="C24" s="29" t="s">
        <v>113</v>
      </c>
      <c r="D24" s="261">
        <f>SUM(E24:I24)</f>
        <v>1</v>
      </c>
      <c r="E24" s="30">
        <v>0</v>
      </c>
      <c r="F24" s="263">
        <v>1</v>
      </c>
      <c r="G24" s="30">
        <v>0</v>
      </c>
      <c r="H24" s="30">
        <v>0</v>
      </c>
      <c r="I24" s="31">
        <v>0</v>
      </c>
      <c r="J24" s="283"/>
    </row>
    <row r="25" spans="1:10" ht="12.75" customHeight="1">
      <c r="A25" s="520"/>
      <c r="B25" s="133" t="s">
        <v>257</v>
      </c>
      <c r="C25" s="134" t="s">
        <v>10</v>
      </c>
      <c r="D25" s="137">
        <f>SUM(E25:I25)</f>
        <v>5</v>
      </c>
      <c r="E25" s="138">
        <v>0</v>
      </c>
      <c r="F25" s="262">
        <v>5</v>
      </c>
      <c r="G25" s="138">
        <v>0</v>
      </c>
      <c r="H25" s="138">
        <v>0</v>
      </c>
      <c r="I25" s="139">
        <v>0</v>
      </c>
      <c r="J25" s="283"/>
    </row>
    <row r="26" spans="1:10" ht="12.75" customHeight="1">
      <c r="A26" s="520"/>
      <c r="B26" s="133" t="s">
        <v>258</v>
      </c>
      <c r="C26" s="134" t="s">
        <v>87</v>
      </c>
      <c r="D26" s="137">
        <f>SUM(E26:I26)</f>
        <v>29</v>
      </c>
      <c r="E26" s="138">
        <v>0</v>
      </c>
      <c r="F26" s="262">
        <v>22</v>
      </c>
      <c r="G26" s="138">
        <v>0</v>
      </c>
      <c r="H26" s="138">
        <v>0</v>
      </c>
      <c r="I26" s="139">
        <v>7</v>
      </c>
      <c r="J26" s="283"/>
    </row>
    <row r="27" spans="1:249" ht="12.75" customHeight="1">
      <c r="A27" s="520"/>
      <c r="B27" s="157" t="s">
        <v>259</v>
      </c>
      <c r="C27" s="158" t="s">
        <v>54</v>
      </c>
      <c r="D27" s="147">
        <f>SUM(E27:H27)</f>
        <v>10</v>
      </c>
      <c r="E27" s="138">
        <v>0</v>
      </c>
      <c r="F27" s="262">
        <v>10</v>
      </c>
      <c r="G27" s="138">
        <v>0</v>
      </c>
      <c r="H27" s="138">
        <v>0</v>
      </c>
      <c r="I27" s="139">
        <v>0</v>
      </c>
      <c r="J27" s="28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10" ht="12.75" customHeight="1">
      <c r="A28" s="520"/>
      <c r="B28" s="133" t="s">
        <v>260</v>
      </c>
      <c r="C28" s="134" t="s">
        <v>86</v>
      </c>
      <c r="D28" s="137">
        <f aca="true" t="shared" si="3" ref="D28:D34">SUM(E28:I28)</f>
        <v>35</v>
      </c>
      <c r="E28" s="137">
        <f>SUM(E29:E34)</f>
        <v>0</v>
      </c>
      <c r="F28" s="137">
        <f>SUM(F29:F34)</f>
        <v>20</v>
      </c>
      <c r="G28" s="137">
        <f>SUM(G29:G34)</f>
        <v>0</v>
      </c>
      <c r="H28" s="137">
        <f>SUM(H29:H34)</f>
        <v>15</v>
      </c>
      <c r="I28" s="156">
        <f>SUM(I29:I34)</f>
        <v>0</v>
      </c>
      <c r="J28" s="283"/>
    </row>
    <row r="29" spans="1:11" ht="12.75" customHeight="1">
      <c r="A29" s="520"/>
      <c r="B29" s="141"/>
      <c r="C29" s="37" t="s">
        <v>68</v>
      </c>
      <c r="D29" s="261">
        <f t="shared" si="3"/>
        <v>18</v>
      </c>
      <c r="E29" s="30">
        <v>0</v>
      </c>
      <c r="F29" s="263">
        <v>3</v>
      </c>
      <c r="G29" s="263">
        <v>0</v>
      </c>
      <c r="H29" s="514">
        <v>15</v>
      </c>
      <c r="I29" s="31">
        <v>0</v>
      </c>
      <c r="J29" s="283"/>
      <c r="K29" s="73"/>
    </row>
    <row r="30" spans="1:11" ht="12.75" customHeight="1">
      <c r="A30" s="520"/>
      <c r="B30" s="141"/>
      <c r="C30" s="37" t="s">
        <v>67</v>
      </c>
      <c r="D30" s="261">
        <f t="shared" si="3"/>
        <v>5</v>
      </c>
      <c r="E30" s="30">
        <v>0</v>
      </c>
      <c r="F30" s="263">
        <v>5</v>
      </c>
      <c r="G30" s="263">
        <v>0</v>
      </c>
      <c r="H30" s="514"/>
      <c r="I30" s="31">
        <v>0</v>
      </c>
      <c r="J30" s="283"/>
      <c r="K30" s="73"/>
    </row>
    <row r="31" spans="1:11" ht="12.75" customHeight="1">
      <c r="A31" s="520"/>
      <c r="B31" s="141"/>
      <c r="C31" s="37" t="s">
        <v>66</v>
      </c>
      <c r="D31" s="261">
        <f t="shared" si="3"/>
        <v>6</v>
      </c>
      <c r="E31" s="30">
        <v>0</v>
      </c>
      <c r="F31" s="263">
        <v>6</v>
      </c>
      <c r="G31" s="263">
        <v>0</v>
      </c>
      <c r="H31" s="514"/>
      <c r="I31" s="31">
        <v>0</v>
      </c>
      <c r="J31" s="283"/>
      <c r="K31" s="73"/>
    </row>
    <row r="32" spans="1:10" ht="12.75" customHeight="1">
      <c r="A32" s="520"/>
      <c r="B32" s="141"/>
      <c r="C32" s="37" t="s">
        <v>65</v>
      </c>
      <c r="D32" s="261">
        <f t="shared" si="3"/>
        <v>2</v>
      </c>
      <c r="E32" s="30">
        <v>0</v>
      </c>
      <c r="F32" s="263">
        <v>2</v>
      </c>
      <c r="G32" s="263">
        <v>0</v>
      </c>
      <c r="H32" s="263">
        <v>0</v>
      </c>
      <c r="I32" s="31">
        <v>0</v>
      </c>
      <c r="J32" s="283"/>
    </row>
    <row r="33" spans="1:10" ht="12.75" customHeight="1">
      <c r="A33" s="520"/>
      <c r="B33" s="141"/>
      <c r="C33" s="37" t="s">
        <v>80</v>
      </c>
      <c r="D33" s="261">
        <f t="shared" si="3"/>
        <v>2</v>
      </c>
      <c r="E33" s="30">
        <v>0</v>
      </c>
      <c r="F33" s="263">
        <v>2</v>
      </c>
      <c r="G33" s="30">
        <v>0</v>
      </c>
      <c r="H33" s="30">
        <v>0</v>
      </c>
      <c r="I33" s="31">
        <v>0</v>
      </c>
      <c r="J33" s="283"/>
    </row>
    <row r="34" spans="1:10" ht="12.75" customHeight="1">
      <c r="A34" s="520"/>
      <c r="B34" s="141"/>
      <c r="C34" s="37" t="s">
        <v>64</v>
      </c>
      <c r="D34" s="261">
        <f t="shared" si="3"/>
        <v>2</v>
      </c>
      <c r="E34" s="30">
        <v>0</v>
      </c>
      <c r="F34" s="263">
        <v>2</v>
      </c>
      <c r="G34" s="30">
        <v>0</v>
      </c>
      <c r="H34" s="30">
        <v>0</v>
      </c>
      <c r="I34" s="31">
        <v>0</v>
      </c>
      <c r="J34" s="283"/>
    </row>
    <row r="35" spans="1:249" ht="12.75" customHeight="1">
      <c r="A35" s="520"/>
      <c r="B35" s="133" t="s">
        <v>261</v>
      </c>
      <c r="C35" s="134" t="s">
        <v>93</v>
      </c>
      <c r="D35" s="137">
        <f>SUM(E35:H35)</f>
        <v>15</v>
      </c>
      <c r="E35" s="138">
        <v>0</v>
      </c>
      <c r="F35" s="262">
        <v>15</v>
      </c>
      <c r="G35" s="138">
        <v>0</v>
      </c>
      <c r="H35" s="138">
        <v>0</v>
      </c>
      <c r="I35" s="139">
        <v>0</v>
      </c>
      <c r="J35" s="283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</row>
    <row r="36" spans="1:10" ht="12.75" customHeight="1">
      <c r="A36" s="520"/>
      <c r="B36" s="141"/>
      <c r="C36" s="29" t="s">
        <v>378</v>
      </c>
      <c r="D36" s="513" t="s">
        <v>120</v>
      </c>
      <c r="E36" s="513"/>
      <c r="F36" s="513"/>
      <c r="G36" s="513"/>
      <c r="H36" s="513"/>
      <c r="I36" s="32">
        <v>0</v>
      </c>
      <c r="J36" s="284"/>
    </row>
    <row r="37" spans="1:10" ht="12.75" customHeight="1">
      <c r="A37" s="520"/>
      <c r="B37" s="141"/>
      <c r="C37" s="29" t="s">
        <v>121</v>
      </c>
      <c r="D37" s="513" t="s">
        <v>122</v>
      </c>
      <c r="E37" s="513"/>
      <c r="F37" s="513"/>
      <c r="G37" s="513"/>
      <c r="H37" s="513"/>
      <c r="I37" s="32">
        <v>0</v>
      </c>
      <c r="J37" s="284"/>
    </row>
    <row r="38" spans="1:10" ht="12.75" customHeight="1">
      <c r="A38" s="520"/>
      <c r="B38" s="141"/>
      <c r="C38" s="29" t="s">
        <v>123</v>
      </c>
      <c r="D38" s="513" t="s">
        <v>120</v>
      </c>
      <c r="E38" s="513"/>
      <c r="F38" s="513"/>
      <c r="G38" s="513"/>
      <c r="H38" s="513"/>
      <c r="I38" s="32">
        <v>0</v>
      </c>
      <c r="J38" s="284"/>
    </row>
    <row r="39" spans="1:10" ht="12.75" customHeight="1">
      <c r="A39" s="520"/>
      <c r="B39" s="141"/>
      <c r="C39" s="29" t="s">
        <v>90</v>
      </c>
      <c r="D39" s="513" t="s">
        <v>122</v>
      </c>
      <c r="E39" s="513"/>
      <c r="F39" s="513"/>
      <c r="G39" s="513"/>
      <c r="H39" s="513"/>
      <c r="I39" s="32">
        <v>0</v>
      </c>
      <c r="J39" s="284"/>
    </row>
    <row r="40" spans="1:249" ht="14.25" customHeight="1">
      <c r="A40" s="520"/>
      <c r="B40" s="133" t="s">
        <v>262</v>
      </c>
      <c r="C40" s="144" t="s">
        <v>44</v>
      </c>
      <c r="D40" s="147">
        <f>SUM(D41:D42)</f>
        <v>4</v>
      </c>
      <c r="E40" s="147">
        <f>SUM(E41:E42)</f>
        <v>0</v>
      </c>
      <c r="F40" s="147">
        <f>SUM(F41:F42)</f>
        <v>4</v>
      </c>
      <c r="G40" s="147">
        <f>SUM(G41:G42)</f>
        <v>0</v>
      </c>
      <c r="H40" s="147">
        <f>SUM(H41:H42)</f>
        <v>0</v>
      </c>
      <c r="I40" s="148">
        <v>0</v>
      </c>
      <c r="J40" s="283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  <c r="IL40" s="150"/>
      <c r="IM40" s="150"/>
      <c r="IN40" s="150"/>
      <c r="IO40" s="150"/>
    </row>
    <row r="41" spans="1:10" ht="12.75" customHeight="1">
      <c r="A41" s="520"/>
      <c r="B41" s="141"/>
      <c r="C41" s="29" t="s">
        <v>124</v>
      </c>
      <c r="D41" s="261">
        <f>SUM(E41:H41)</f>
        <v>2</v>
      </c>
      <c r="E41" s="30">
        <v>0</v>
      </c>
      <c r="F41" s="263">
        <v>2</v>
      </c>
      <c r="G41" s="30">
        <v>0</v>
      </c>
      <c r="H41" s="30">
        <v>0</v>
      </c>
      <c r="I41" s="32">
        <v>0</v>
      </c>
      <c r="J41" s="284"/>
    </row>
    <row r="42" spans="1:10" ht="12.75" customHeight="1">
      <c r="A42" s="520"/>
      <c r="B42" s="141"/>
      <c r="C42" s="29" t="s">
        <v>89</v>
      </c>
      <c r="D42" s="261">
        <f>SUM(E42:H42)</f>
        <v>2</v>
      </c>
      <c r="E42" s="30">
        <v>0</v>
      </c>
      <c r="F42" s="263">
        <v>2</v>
      </c>
      <c r="G42" s="30">
        <v>0</v>
      </c>
      <c r="H42" s="30">
        <v>0</v>
      </c>
      <c r="I42" s="32">
        <v>0</v>
      </c>
      <c r="J42" s="284"/>
    </row>
    <row r="43" spans="1:10" ht="12.75" customHeight="1">
      <c r="A43" s="520"/>
      <c r="B43" s="245" t="s">
        <v>263</v>
      </c>
      <c r="C43" s="249" t="s">
        <v>239</v>
      </c>
      <c r="D43" s="250"/>
      <c r="E43" s="247"/>
      <c r="F43" s="247"/>
      <c r="G43" s="247"/>
      <c r="H43" s="247"/>
      <c r="I43" s="248"/>
      <c r="J43" s="284"/>
    </row>
    <row r="44" spans="1:10" ht="12.75" customHeight="1">
      <c r="A44" s="520"/>
      <c r="B44" s="245" t="s">
        <v>264</v>
      </c>
      <c r="C44" s="249" t="s">
        <v>240</v>
      </c>
      <c r="D44" s="250"/>
      <c r="E44" s="247"/>
      <c r="F44" s="247"/>
      <c r="G44" s="247"/>
      <c r="H44" s="247"/>
      <c r="I44" s="248"/>
      <c r="J44" s="284"/>
    </row>
    <row r="45" spans="1:249" ht="15">
      <c r="A45" s="520"/>
      <c r="B45" s="151" t="s">
        <v>227</v>
      </c>
      <c r="C45" s="152" t="s">
        <v>55</v>
      </c>
      <c r="D45" s="154">
        <f>SUM(E45:I45)</f>
        <v>167</v>
      </c>
      <c r="E45" s="154">
        <f>E46+E47+E48+E54</f>
        <v>0</v>
      </c>
      <c r="F45" s="154">
        <f>F46+F47+F48+F54+F63</f>
        <v>96</v>
      </c>
      <c r="G45" s="154">
        <f>G46+G47+G48+G54</f>
        <v>0</v>
      </c>
      <c r="H45" s="154">
        <f>H46+H47+H48+H54</f>
        <v>54</v>
      </c>
      <c r="I45" s="154">
        <f>I46+I47+I48+I54</f>
        <v>17</v>
      </c>
      <c r="J45" s="286">
        <v>12</v>
      </c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</row>
    <row r="46" spans="1:10" ht="12.75">
      <c r="A46" s="520"/>
      <c r="B46" s="133" t="s">
        <v>265</v>
      </c>
      <c r="C46" s="134" t="s">
        <v>92</v>
      </c>
      <c r="D46" s="137">
        <f>SUM(E46:I46)</f>
        <v>20</v>
      </c>
      <c r="E46" s="138">
        <v>0</v>
      </c>
      <c r="F46" s="262">
        <v>8</v>
      </c>
      <c r="G46" s="138">
        <v>0</v>
      </c>
      <c r="H46" s="138">
        <v>0</v>
      </c>
      <c r="I46" s="139">
        <v>12</v>
      </c>
      <c r="J46" s="283"/>
    </row>
    <row r="47" spans="1:10" ht="12.75" customHeight="1">
      <c r="A47" s="520"/>
      <c r="B47" s="133" t="s">
        <v>266</v>
      </c>
      <c r="C47" s="134" t="s">
        <v>13</v>
      </c>
      <c r="D47" s="137">
        <f aca="true" t="shared" si="4" ref="D47:D62">SUM(E47:I47)</f>
        <v>14</v>
      </c>
      <c r="E47" s="138">
        <v>0</v>
      </c>
      <c r="F47" s="262">
        <v>14</v>
      </c>
      <c r="G47" s="138">
        <v>0</v>
      </c>
      <c r="H47" s="138">
        <v>0</v>
      </c>
      <c r="I47" s="139">
        <v>0</v>
      </c>
      <c r="J47" s="283"/>
    </row>
    <row r="48" spans="1:10" ht="12.75" customHeight="1">
      <c r="A48" s="520"/>
      <c r="B48" s="133" t="s">
        <v>267</v>
      </c>
      <c r="C48" s="134" t="s">
        <v>43</v>
      </c>
      <c r="D48" s="137">
        <f>SUM(E48:I48)</f>
        <v>55</v>
      </c>
      <c r="E48" s="137">
        <f>SUM(E49:E53)</f>
        <v>0</v>
      </c>
      <c r="F48" s="137">
        <f>SUM(F49:F53)</f>
        <v>28</v>
      </c>
      <c r="G48" s="137">
        <f>SUM(G49:G53)</f>
        <v>0</v>
      </c>
      <c r="H48" s="137">
        <f>SUM(H49:H53)</f>
        <v>27</v>
      </c>
      <c r="I48" s="156">
        <f>SUM(I49:I53)</f>
        <v>0</v>
      </c>
      <c r="J48" s="283"/>
    </row>
    <row r="49" spans="1:10" ht="12.75" customHeight="1">
      <c r="A49" s="520"/>
      <c r="B49" s="141"/>
      <c r="C49" s="29" t="s">
        <v>127</v>
      </c>
      <c r="D49" s="261">
        <f t="shared" si="4"/>
        <v>36</v>
      </c>
      <c r="E49" s="30">
        <v>0</v>
      </c>
      <c r="F49" s="263">
        <v>12</v>
      </c>
      <c r="G49" s="30">
        <v>0</v>
      </c>
      <c r="H49" s="263">
        <v>24</v>
      </c>
      <c r="I49" s="31">
        <v>0</v>
      </c>
      <c r="J49" s="283"/>
    </row>
    <row r="50" spans="1:10" ht="12.75" customHeight="1">
      <c r="A50" s="520"/>
      <c r="B50" s="141"/>
      <c r="C50" s="29" t="s">
        <v>129</v>
      </c>
      <c r="D50" s="261">
        <f t="shared" si="4"/>
        <v>4</v>
      </c>
      <c r="E50" s="30">
        <v>0</v>
      </c>
      <c r="F50" s="263">
        <v>4</v>
      </c>
      <c r="G50" s="30">
        <v>0</v>
      </c>
      <c r="H50" s="263">
        <v>0</v>
      </c>
      <c r="I50" s="31">
        <v>0</v>
      </c>
      <c r="J50" s="283"/>
    </row>
    <row r="51" spans="1:10" ht="12.75" customHeight="1">
      <c r="A51" s="520"/>
      <c r="B51" s="141"/>
      <c r="C51" s="29" t="s">
        <v>130</v>
      </c>
      <c r="D51" s="261">
        <f t="shared" si="4"/>
        <v>7</v>
      </c>
      <c r="E51" s="30">
        <v>0</v>
      </c>
      <c r="F51" s="263">
        <v>4</v>
      </c>
      <c r="G51" s="30">
        <v>0</v>
      </c>
      <c r="H51" s="263">
        <v>3</v>
      </c>
      <c r="I51" s="31">
        <v>0</v>
      </c>
      <c r="J51" s="283"/>
    </row>
    <row r="52" spans="1:10" ht="12.75" customHeight="1">
      <c r="A52" s="520"/>
      <c r="B52" s="141"/>
      <c r="C52" s="29" t="s">
        <v>132</v>
      </c>
      <c r="D52" s="261">
        <f t="shared" si="4"/>
        <v>4</v>
      </c>
      <c r="E52" s="30">
        <v>0</v>
      </c>
      <c r="F52" s="267">
        <v>4</v>
      </c>
      <c r="G52" s="30">
        <v>0</v>
      </c>
      <c r="H52" s="30">
        <v>0</v>
      </c>
      <c r="I52" s="31">
        <v>0</v>
      </c>
      <c r="J52" s="283"/>
    </row>
    <row r="53" spans="1:10" ht="12.75" customHeight="1">
      <c r="A53" s="520"/>
      <c r="B53" s="141"/>
      <c r="C53" s="29" t="s">
        <v>133</v>
      </c>
      <c r="D53" s="261">
        <f t="shared" si="4"/>
        <v>4</v>
      </c>
      <c r="E53" s="30">
        <v>0</v>
      </c>
      <c r="F53" s="263">
        <v>4</v>
      </c>
      <c r="G53" s="30">
        <v>0</v>
      </c>
      <c r="H53" s="30">
        <v>0</v>
      </c>
      <c r="I53" s="31">
        <v>0</v>
      </c>
      <c r="J53" s="283"/>
    </row>
    <row r="54" spans="1:10" ht="12.75" customHeight="1">
      <c r="A54" s="520"/>
      <c r="B54" s="133" t="s">
        <v>268</v>
      </c>
      <c r="C54" s="134" t="s">
        <v>12</v>
      </c>
      <c r="D54" s="137">
        <f>SUM(E54:I54)</f>
        <v>74</v>
      </c>
      <c r="E54" s="137">
        <f>SUM(E55:E62)</f>
        <v>0</v>
      </c>
      <c r="F54" s="137">
        <f>SUM(F55:F62)</f>
        <v>42</v>
      </c>
      <c r="G54" s="137">
        <f>SUM(G55:G62)</f>
        <v>0</v>
      </c>
      <c r="H54" s="137">
        <f>SUM(H55:H62)</f>
        <v>27</v>
      </c>
      <c r="I54" s="156">
        <f>SUM(I55:I62)</f>
        <v>5</v>
      </c>
      <c r="J54" s="283"/>
    </row>
    <row r="55" spans="1:10" ht="12.75" customHeight="1">
      <c r="A55" s="520"/>
      <c r="B55" s="141"/>
      <c r="C55" s="29" t="s">
        <v>70</v>
      </c>
      <c r="D55" s="261">
        <f>E55+F55+G55+$H$55/3+I55</f>
        <v>18</v>
      </c>
      <c r="E55" s="30">
        <v>0</v>
      </c>
      <c r="F55" s="263">
        <v>7</v>
      </c>
      <c r="G55" s="263">
        <v>0</v>
      </c>
      <c r="H55" s="514">
        <v>27</v>
      </c>
      <c r="I55" s="31">
        <v>2</v>
      </c>
      <c r="J55" s="283"/>
    </row>
    <row r="56" spans="1:10" ht="12.75" customHeight="1">
      <c r="A56" s="520"/>
      <c r="B56" s="141"/>
      <c r="C56" s="29" t="s">
        <v>69</v>
      </c>
      <c r="D56" s="261">
        <f>E56+F56+G56+$H$55/3+I56</f>
        <v>23</v>
      </c>
      <c r="E56" s="30">
        <v>0</v>
      </c>
      <c r="F56" s="263">
        <v>12</v>
      </c>
      <c r="G56" s="263">
        <v>0</v>
      </c>
      <c r="H56" s="514"/>
      <c r="I56" s="31">
        <v>2</v>
      </c>
      <c r="J56" s="283"/>
    </row>
    <row r="57" spans="1:10" ht="12.75" customHeight="1">
      <c r="A57" s="520"/>
      <c r="B57" s="141"/>
      <c r="C57" s="29" t="s">
        <v>134</v>
      </c>
      <c r="D57" s="261">
        <f t="shared" si="4"/>
        <v>1</v>
      </c>
      <c r="E57" s="30">
        <v>0</v>
      </c>
      <c r="F57" s="263">
        <v>0</v>
      </c>
      <c r="G57" s="263">
        <v>0</v>
      </c>
      <c r="H57" s="514"/>
      <c r="I57" s="31">
        <v>1</v>
      </c>
      <c r="J57" s="283"/>
    </row>
    <row r="58" spans="1:10" ht="12.75" customHeight="1">
      <c r="A58" s="520"/>
      <c r="B58" s="141"/>
      <c r="C58" s="29" t="s">
        <v>136</v>
      </c>
      <c r="D58" s="261">
        <f>E58+F58+G58+$H$55/3+I58</f>
        <v>14</v>
      </c>
      <c r="E58" s="30">
        <v>0</v>
      </c>
      <c r="F58" s="263">
        <v>5</v>
      </c>
      <c r="G58" s="263">
        <v>0</v>
      </c>
      <c r="H58" s="514"/>
      <c r="I58" s="31">
        <v>0</v>
      </c>
      <c r="J58" s="283"/>
    </row>
    <row r="59" spans="1:10" ht="12.75" customHeight="1">
      <c r="A59" s="520"/>
      <c r="B59" s="141"/>
      <c r="C59" s="29" t="s">
        <v>137</v>
      </c>
      <c r="D59" s="261">
        <f t="shared" si="4"/>
        <v>3</v>
      </c>
      <c r="E59" s="30">
        <v>0</v>
      </c>
      <c r="F59" s="263">
        <v>3</v>
      </c>
      <c r="G59" s="263">
        <v>0</v>
      </c>
      <c r="H59" s="263">
        <v>0</v>
      </c>
      <c r="I59" s="31">
        <v>0</v>
      </c>
      <c r="J59" s="283"/>
    </row>
    <row r="60" spans="1:10" ht="12.75" customHeight="1">
      <c r="A60" s="520"/>
      <c r="B60" s="141"/>
      <c r="C60" s="29" t="s">
        <v>138</v>
      </c>
      <c r="D60" s="261">
        <f t="shared" si="4"/>
        <v>4</v>
      </c>
      <c r="E60" s="30">
        <v>0</v>
      </c>
      <c r="F60" s="263">
        <v>4</v>
      </c>
      <c r="G60" s="263">
        <v>0</v>
      </c>
      <c r="H60" s="263">
        <v>0</v>
      </c>
      <c r="I60" s="31">
        <v>0</v>
      </c>
      <c r="J60" s="283"/>
    </row>
    <row r="61" spans="1:10" ht="12.75" customHeight="1">
      <c r="A61" s="520"/>
      <c r="B61" s="141"/>
      <c r="C61" s="29" t="s">
        <v>139</v>
      </c>
      <c r="D61" s="261">
        <f t="shared" si="4"/>
        <v>5</v>
      </c>
      <c r="E61" s="30">
        <v>0</v>
      </c>
      <c r="F61" s="263">
        <v>5</v>
      </c>
      <c r="G61" s="263">
        <v>0</v>
      </c>
      <c r="H61" s="263">
        <v>0</v>
      </c>
      <c r="I61" s="31">
        <v>0</v>
      </c>
      <c r="J61" s="283"/>
    </row>
    <row r="62" spans="1:10" ht="12.75" customHeight="1">
      <c r="A62" s="520"/>
      <c r="B62" s="141"/>
      <c r="C62" s="29" t="s">
        <v>81</v>
      </c>
      <c r="D62" s="261">
        <f t="shared" si="4"/>
        <v>6</v>
      </c>
      <c r="E62" s="30">
        <v>0</v>
      </c>
      <c r="F62" s="263">
        <v>6</v>
      </c>
      <c r="G62" s="263">
        <v>0</v>
      </c>
      <c r="H62" s="263">
        <v>0</v>
      </c>
      <c r="I62" s="31">
        <v>0</v>
      </c>
      <c r="J62" s="283"/>
    </row>
    <row r="63" spans="1:249" ht="14.25" customHeight="1">
      <c r="A63" s="520"/>
      <c r="B63" s="133" t="s">
        <v>269</v>
      </c>
      <c r="C63" s="144" t="s">
        <v>44</v>
      </c>
      <c r="D63" s="147">
        <f aca="true" t="shared" si="5" ref="D63:I63">D64+D65</f>
        <v>4</v>
      </c>
      <c r="E63" s="147">
        <f t="shared" si="5"/>
        <v>0</v>
      </c>
      <c r="F63" s="147">
        <f t="shared" si="5"/>
        <v>4</v>
      </c>
      <c r="G63" s="147">
        <f t="shared" si="5"/>
        <v>0</v>
      </c>
      <c r="H63" s="147">
        <f t="shared" si="5"/>
        <v>0</v>
      </c>
      <c r="I63" s="163">
        <f t="shared" si="5"/>
        <v>0</v>
      </c>
      <c r="J63" s="283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</row>
    <row r="64" spans="1:10" ht="12.75" customHeight="1">
      <c r="A64" s="520"/>
      <c r="B64" s="141"/>
      <c r="C64" s="29" t="s">
        <v>63</v>
      </c>
      <c r="D64" s="261">
        <f>SUM(E64:H64)</f>
        <v>2</v>
      </c>
      <c r="E64" s="30">
        <v>0</v>
      </c>
      <c r="F64" s="263">
        <v>2</v>
      </c>
      <c r="G64" s="30">
        <v>0</v>
      </c>
      <c r="H64" s="30">
        <v>0</v>
      </c>
      <c r="I64" s="32">
        <v>0</v>
      </c>
      <c r="J64" s="284"/>
    </row>
    <row r="65" spans="1:10" ht="12.75" customHeight="1">
      <c r="A65" s="520"/>
      <c r="B65" s="141"/>
      <c r="C65" s="29" t="s">
        <v>88</v>
      </c>
      <c r="D65" s="261">
        <f>SUM(E65:H65)</f>
        <v>2</v>
      </c>
      <c r="E65" s="30">
        <v>0</v>
      </c>
      <c r="F65" s="263">
        <v>2</v>
      </c>
      <c r="G65" s="30">
        <v>0</v>
      </c>
      <c r="H65" s="30">
        <v>0</v>
      </c>
      <c r="I65" s="32">
        <v>0</v>
      </c>
      <c r="J65" s="284"/>
    </row>
    <row r="66" spans="1:10" ht="12.75" customHeight="1">
      <c r="A66" s="520"/>
      <c r="B66" s="245" t="s">
        <v>270</v>
      </c>
      <c r="C66" s="249" t="s">
        <v>239</v>
      </c>
      <c r="D66" s="250"/>
      <c r="E66" s="247"/>
      <c r="F66" s="247"/>
      <c r="G66" s="247"/>
      <c r="H66" s="247"/>
      <c r="I66" s="248"/>
      <c r="J66" s="284"/>
    </row>
    <row r="67" spans="1:10" ht="12.75" customHeight="1">
      <c r="A67" s="520"/>
      <c r="B67" s="245" t="s">
        <v>271</v>
      </c>
      <c r="C67" s="249" t="s">
        <v>240</v>
      </c>
      <c r="D67" s="250"/>
      <c r="E67" s="247"/>
      <c r="F67" s="247"/>
      <c r="G67" s="247"/>
      <c r="H67" s="247"/>
      <c r="I67" s="248"/>
      <c r="J67" s="284"/>
    </row>
    <row r="68" spans="1:249" ht="14.25" customHeight="1">
      <c r="A68" s="520"/>
      <c r="B68" s="151" t="s">
        <v>228</v>
      </c>
      <c r="C68" s="152" t="s">
        <v>14</v>
      </c>
      <c r="D68" s="154">
        <f>SUM(E68:I68)</f>
        <v>89</v>
      </c>
      <c r="E68" s="154">
        <f>E69+E75+E78</f>
        <v>0</v>
      </c>
      <c r="F68" s="154">
        <f>F69+F75+F78</f>
        <v>77</v>
      </c>
      <c r="G68" s="154">
        <f>G69+G75+G78</f>
        <v>0</v>
      </c>
      <c r="H68" s="154">
        <f>H69+H75+H78</f>
        <v>6</v>
      </c>
      <c r="I68" s="154">
        <f>I69+I75+I78</f>
        <v>6</v>
      </c>
      <c r="J68" s="286">
        <v>6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</row>
    <row r="69" spans="1:249" ht="14.25" customHeight="1">
      <c r="A69" s="520"/>
      <c r="B69" s="133" t="s">
        <v>244</v>
      </c>
      <c r="C69" s="134" t="s">
        <v>56</v>
      </c>
      <c r="D69" s="137">
        <f aca="true" t="shared" si="6" ref="D69:D74">SUM(E69:I69)</f>
        <v>52</v>
      </c>
      <c r="E69" s="137">
        <f>SUM(E70:E74)</f>
        <v>0</v>
      </c>
      <c r="F69" s="137">
        <f>SUM(F70:F74)</f>
        <v>40</v>
      </c>
      <c r="G69" s="137">
        <f>SUM(G70:G74)</f>
        <v>0</v>
      </c>
      <c r="H69" s="137">
        <f>SUM(H70:H74)</f>
        <v>6</v>
      </c>
      <c r="I69" s="156">
        <f>SUM(I70:I74)</f>
        <v>6</v>
      </c>
      <c r="J69" s="283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50"/>
      <c r="IJ69" s="150"/>
      <c r="IK69" s="150"/>
      <c r="IL69" s="150"/>
      <c r="IM69" s="150"/>
      <c r="IN69" s="150"/>
      <c r="IO69" s="150"/>
    </row>
    <row r="70" spans="1:10" ht="12.75" customHeight="1">
      <c r="A70" s="520"/>
      <c r="B70" s="141"/>
      <c r="C70" s="165" t="s">
        <v>75</v>
      </c>
      <c r="D70" s="261">
        <f t="shared" si="6"/>
        <v>1</v>
      </c>
      <c r="E70" s="30">
        <v>0</v>
      </c>
      <c r="F70" s="263">
        <v>1</v>
      </c>
      <c r="G70" s="263">
        <v>0</v>
      </c>
      <c r="H70" s="263">
        <v>0</v>
      </c>
      <c r="I70" s="31">
        <v>0</v>
      </c>
      <c r="J70" s="283"/>
    </row>
    <row r="71" spans="1:10" ht="12.75" customHeight="1">
      <c r="A71" s="520"/>
      <c r="B71" s="141"/>
      <c r="C71" s="165" t="s">
        <v>74</v>
      </c>
      <c r="D71" s="261">
        <f>E71+F71+G71+$H$71/2+I71</f>
        <v>24</v>
      </c>
      <c r="E71" s="30">
        <v>0</v>
      </c>
      <c r="F71" s="263">
        <v>18</v>
      </c>
      <c r="G71" s="263">
        <v>0</v>
      </c>
      <c r="H71" s="514">
        <v>6</v>
      </c>
      <c r="I71" s="31">
        <v>3</v>
      </c>
      <c r="J71" s="283"/>
    </row>
    <row r="72" spans="1:10" ht="12.75" customHeight="1">
      <c r="A72" s="520"/>
      <c r="B72" s="141"/>
      <c r="C72" s="165" t="s">
        <v>141</v>
      </c>
      <c r="D72" s="261">
        <f>E72+F72+G72+$H$71/2+I72</f>
        <v>19</v>
      </c>
      <c r="E72" s="30">
        <v>0</v>
      </c>
      <c r="F72" s="263">
        <v>13</v>
      </c>
      <c r="G72" s="263">
        <v>0</v>
      </c>
      <c r="H72" s="514"/>
      <c r="I72" s="31">
        <v>3</v>
      </c>
      <c r="J72" s="283"/>
    </row>
    <row r="73" spans="1:10" ht="12.75" customHeight="1">
      <c r="A73" s="520"/>
      <c r="B73" s="141"/>
      <c r="C73" s="165" t="s">
        <v>73</v>
      </c>
      <c r="D73" s="261">
        <f t="shared" si="6"/>
        <v>3</v>
      </c>
      <c r="E73" s="30">
        <v>0</v>
      </c>
      <c r="F73" s="263">
        <v>3</v>
      </c>
      <c r="G73" s="263">
        <v>0</v>
      </c>
      <c r="H73" s="263">
        <v>0</v>
      </c>
      <c r="I73" s="31">
        <v>0</v>
      </c>
      <c r="J73" s="283"/>
    </row>
    <row r="74" spans="1:10" ht="12.75" customHeight="1">
      <c r="A74" s="520"/>
      <c r="B74" s="141"/>
      <c r="C74" s="165" t="s">
        <v>72</v>
      </c>
      <c r="D74" s="261">
        <f t="shared" si="6"/>
        <v>5</v>
      </c>
      <c r="E74" s="30">
        <v>0</v>
      </c>
      <c r="F74" s="263">
        <v>5</v>
      </c>
      <c r="G74" s="263">
        <v>0</v>
      </c>
      <c r="H74" s="263">
        <v>0</v>
      </c>
      <c r="I74" s="31">
        <v>0</v>
      </c>
      <c r="J74" s="283"/>
    </row>
    <row r="75" spans="1:249" ht="14.25" customHeight="1">
      <c r="A75" s="520"/>
      <c r="B75" s="133" t="s">
        <v>245</v>
      </c>
      <c r="C75" s="134" t="s">
        <v>15</v>
      </c>
      <c r="D75" s="137">
        <f aca="true" t="shared" si="7" ref="D75:D80">SUM(E75:I75)</f>
        <v>10</v>
      </c>
      <c r="E75" s="137">
        <f>SUM(E76:E77)</f>
        <v>0</v>
      </c>
      <c r="F75" s="137">
        <f>SUM(F76:F77)</f>
        <v>10</v>
      </c>
      <c r="G75" s="137">
        <f>SUM(G76:G77)</f>
        <v>0</v>
      </c>
      <c r="H75" s="137">
        <f>SUM(H76:H77)</f>
        <v>0</v>
      </c>
      <c r="I75" s="156">
        <f>SUM(I76:I77)</f>
        <v>0</v>
      </c>
      <c r="J75" s="283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50"/>
      <c r="IK75" s="150"/>
      <c r="IL75" s="150"/>
      <c r="IM75" s="150"/>
      <c r="IN75" s="150"/>
      <c r="IO75" s="150"/>
    </row>
    <row r="76" spans="1:10" ht="12.75" customHeight="1">
      <c r="A76" s="520"/>
      <c r="B76" s="141"/>
      <c r="C76" s="29" t="s">
        <v>143</v>
      </c>
      <c r="D76" s="261">
        <f t="shared" si="7"/>
        <v>4</v>
      </c>
      <c r="E76" s="30">
        <v>0</v>
      </c>
      <c r="F76" s="263">
        <v>4</v>
      </c>
      <c r="G76" s="30">
        <v>0</v>
      </c>
      <c r="H76" s="30">
        <v>0</v>
      </c>
      <c r="I76" s="31">
        <v>0</v>
      </c>
      <c r="J76" s="283"/>
    </row>
    <row r="77" spans="1:10" ht="12.75" customHeight="1">
      <c r="A77" s="520"/>
      <c r="B77" s="141"/>
      <c r="C77" s="29" t="s">
        <v>144</v>
      </c>
      <c r="D77" s="261">
        <f t="shared" si="7"/>
        <v>6</v>
      </c>
      <c r="E77" s="30">
        <v>0</v>
      </c>
      <c r="F77" s="263">
        <v>6</v>
      </c>
      <c r="G77" s="30">
        <v>0</v>
      </c>
      <c r="H77" s="30">
        <v>0</v>
      </c>
      <c r="I77" s="31">
        <v>0</v>
      </c>
      <c r="J77" s="283"/>
    </row>
    <row r="78" spans="1:249" ht="14.25" customHeight="1">
      <c r="A78" s="520"/>
      <c r="B78" s="133" t="s">
        <v>246</v>
      </c>
      <c r="C78" s="134" t="s">
        <v>57</v>
      </c>
      <c r="D78" s="137">
        <f t="shared" si="7"/>
        <v>27</v>
      </c>
      <c r="E78" s="137">
        <f>SUM(E79:E80)</f>
        <v>0</v>
      </c>
      <c r="F78" s="137">
        <f>SUM(F79:F80)</f>
        <v>27</v>
      </c>
      <c r="G78" s="137">
        <f>SUM(G79:G80)</f>
        <v>0</v>
      </c>
      <c r="H78" s="137">
        <f>SUM(H79:H80)</f>
        <v>0</v>
      </c>
      <c r="I78" s="156">
        <f>SUM(I79:I80)</f>
        <v>0</v>
      </c>
      <c r="J78" s="283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</row>
    <row r="79" spans="1:10" ht="12.75" customHeight="1">
      <c r="A79" s="520"/>
      <c r="B79" s="141"/>
      <c r="C79" s="29" t="s">
        <v>145</v>
      </c>
      <c r="D79" s="261">
        <f t="shared" si="7"/>
        <v>15</v>
      </c>
      <c r="E79" s="30">
        <v>0</v>
      </c>
      <c r="F79" s="263">
        <v>15</v>
      </c>
      <c r="G79" s="30">
        <v>0</v>
      </c>
      <c r="H79" s="30">
        <v>0</v>
      </c>
      <c r="I79" s="31">
        <v>0</v>
      </c>
      <c r="J79" s="283"/>
    </row>
    <row r="80" spans="1:10" ht="12.75" customHeight="1">
      <c r="A80" s="520"/>
      <c r="B80" s="141"/>
      <c r="C80" s="29" t="s">
        <v>71</v>
      </c>
      <c r="D80" s="261">
        <f t="shared" si="7"/>
        <v>12</v>
      </c>
      <c r="E80" s="30">
        <v>0</v>
      </c>
      <c r="F80" s="263">
        <v>12</v>
      </c>
      <c r="G80" s="30">
        <v>0</v>
      </c>
      <c r="H80" s="30">
        <v>0</v>
      </c>
      <c r="I80" s="31">
        <v>0</v>
      </c>
      <c r="J80" s="283"/>
    </row>
    <row r="81" spans="1:10" ht="12.75">
      <c r="A81" s="520"/>
      <c r="B81" s="251" t="s">
        <v>247</v>
      </c>
      <c r="C81" s="249" t="s">
        <v>239</v>
      </c>
      <c r="D81" s="250"/>
      <c r="E81" s="247"/>
      <c r="F81" s="247"/>
      <c r="G81" s="247"/>
      <c r="H81" s="247"/>
      <c r="I81" s="248"/>
      <c r="J81" s="283"/>
    </row>
    <row r="82" spans="1:10" ht="13.5" thickBot="1">
      <c r="A82" s="519"/>
      <c r="B82" s="252" t="s">
        <v>248</v>
      </c>
      <c r="C82" s="253" t="s">
        <v>240</v>
      </c>
      <c r="D82" s="255"/>
      <c r="E82" s="256"/>
      <c r="F82" s="256"/>
      <c r="G82" s="256"/>
      <c r="H82" s="256"/>
      <c r="I82" s="256"/>
      <c r="J82" s="287"/>
    </row>
    <row r="83" spans="1:10" ht="12.75">
      <c r="A83" s="272"/>
      <c r="B83" s="273"/>
      <c r="C83" s="274"/>
      <c r="D83" s="275"/>
      <c r="E83" s="276"/>
      <c r="F83" s="275"/>
      <c r="G83" s="275"/>
      <c r="H83" s="275"/>
      <c r="I83" s="275"/>
      <c r="J83" s="275"/>
    </row>
    <row r="84" spans="1:10" ht="15">
      <c r="A84" s="275"/>
      <c r="B84" s="277"/>
      <c r="C84" s="278" t="s">
        <v>147</v>
      </c>
      <c r="D84" s="279">
        <f aca="true" t="shared" si="8" ref="D84:J84">D4+D5+D7+D21+D45+D68</f>
        <v>450</v>
      </c>
      <c r="E84" s="279">
        <f t="shared" si="8"/>
        <v>0</v>
      </c>
      <c r="F84" s="279">
        <f t="shared" si="8"/>
        <v>327</v>
      </c>
      <c r="G84" s="279">
        <f t="shared" si="8"/>
        <v>0</v>
      </c>
      <c r="H84" s="279">
        <f t="shared" si="8"/>
        <v>89</v>
      </c>
      <c r="I84" s="279">
        <f t="shared" si="8"/>
        <v>34</v>
      </c>
      <c r="J84" s="279">
        <f t="shared" si="8"/>
        <v>60</v>
      </c>
    </row>
    <row r="85" spans="1:10" ht="15">
      <c r="A85" s="275"/>
      <c r="B85" s="277"/>
      <c r="C85" s="280"/>
      <c r="D85" s="281" t="s">
        <v>148</v>
      </c>
      <c r="E85" s="282"/>
      <c r="F85" s="275"/>
      <c r="G85" s="275"/>
      <c r="H85" s="275"/>
      <c r="I85" s="275"/>
      <c r="J85" s="275"/>
    </row>
    <row r="86" ht="15">
      <c r="H86" s="17" t="s">
        <v>237</v>
      </c>
    </row>
    <row r="87" spans="2:9" ht="12.75">
      <c r="B87" s="174"/>
      <c r="I87" s="243" t="s">
        <v>238</v>
      </c>
    </row>
    <row r="88" ht="12.75">
      <c r="B88" s="174"/>
    </row>
    <row r="89" ht="12.75">
      <c r="B89" s="174"/>
    </row>
    <row r="91" spans="3:10" ht="14.25" customHeight="1">
      <c r="C91" s="175"/>
      <c r="D91" s="176"/>
      <c r="E91" s="176"/>
      <c r="F91" s="176"/>
      <c r="G91" s="176"/>
      <c r="H91" s="176"/>
      <c r="I91" s="176"/>
      <c r="J91" s="176"/>
    </row>
    <row r="92" spans="3:10" ht="15">
      <c r="C92" s="177"/>
      <c r="D92" s="17"/>
      <c r="E92" s="178"/>
      <c r="F92" s="17"/>
      <c r="G92" s="17"/>
      <c r="H92" s="17"/>
      <c r="I92" s="17"/>
      <c r="J92" s="17"/>
    </row>
    <row r="93" spans="3:10" ht="15">
      <c r="C93" s="177"/>
      <c r="D93" s="17"/>
      <c r="E93" s="179"/>
      <c r="F93" s="17"/>
      <c r="G93" s="17"/>
      <c r="H93" s="17"/>
      <c r="I93" s="17"/>
      <c r="J93" s="17"/>
    </row>
  </sheetData>
  <sheetProtection/>
  <mergeCells count="10">
    <mergeCell ref="D39:H39"/>
    <mergeCell ref="H55:H58"/>
    <mergeCell ref="H71:H72"/>
    <mergeCell ref="B2:J2"/>
    <mergeCell ref="A4:A5"/>
    <mergeCell ref="A7:A82"/>
    <mergeCell ref="H29:H31"/>
    <mergeCell ref="D36:H36"/>
    <mergeCell ref="D37:H37"/>
    <mergeCell ref="D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E6" sqref="E6:K6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SUM(A4:A13)</f>
        <v>34.49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42.75" customHeight="1" thickBot="1">
      <c r="A4" s="15">
        <f>3.5+1.5+1.33</f>
        <v>6.33</v>
      </c>
      <c r="B4" s="67" t="s">
        <v>37</v>
      </c>
      <c r="C4" s="540" t="s">
        <v>441</v>
      </c>
      <c r="D4" s="541"/>
      <c r="E4" s="541"/>
      <c r="F4" s="541"/>
      <c r="G4" s="541"/>
      <c r="H4" s="541"/>
      <c r="I4" s="542"/>
      <c r="J4" s="181"/>
      <c r="K4" s="182"/>
      <c r="L4" s="382" t="s">
        <v>418</v>
      </c>
      <c r="M4" s="638" t="s">
        <v>442</v>
      </c>
      <c r="N4" s="639"/>
      <c r="O4" s="640"/>
      <c r="P4" s="218"/>
      <c r="Q4" s="555" t="s">
        <v>447</v>
      </c>
      <c r="R4" s="555"/>
      <c r="S4" s="556"/>
      <c r="T4" s="57"/>
      <c r="U4" s="57"/>
      <c r="V4" s="58"/>
    </row>
    <row r="5" spans="1:22" s="8" customFormat="1" ht="13.5" thickBot="1">
      <c r="A5" s="15"/>
      <c r="B5" s="15"/>
      <c r="C5"/>
      <c r="D5"/>
      <c r="E5"/>
      <c r="F5"/>
      <c r="G5"/>
      <c r="H5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3+3</f>
        <v>6</v>
      </c>
      <c r="B6" s="62" t="s">
        <v>38</v>
      </c>
      <c r="C6" s="180"/>
      <c r="D6" s="218"/>
      <c r="E6" s="641" t="s">
        <v>469</v>
      </c>
      <c r="F6" s="642"/>
      <c r="G6" s="642"/>
      <c r="H6" s="642"/>
      <c r="I6" s="642"/>
      <c r="J6" s="642"/>
      <c r="K6" s="643"/>
      <c r="L6" s="181"/>
      <c r="M6" s="182"/>
      <c r="N6" s="631" t="s">
        <v>306</v>
      </c>
      <c r="O6" s="632"/>
      <c r="P6" s="632"/>
      <c r="Q6" s="632"/>
      <c r="R6" s="632"/>
      <c r="S6" s="633"/>
      <c r="T6" s="57"/>
      <c r="U6" s="57"/>
      <c r="V6" s="58"/>
    </row>
    <row r="7" spans="1:22" s="8" customFormat="1" ht="12.75">
      <c r="A7" s="15"/>
      <c r="B7" s="50"/>
      <c r="C7" s="9"/>
      <c r="D7" s="9"/>
      <c r="E7" s="399" t="s">
        <v>462</v>
      </c>
      <c r="F7" s="9"/>
      <c r="G7" s="9"/>
      <c r="H7" s="9"/>
      <c r="I7" s="55"/>
      <c r="J7" s="9"/>
      <c r="K7" s="9"/>
      <c r="L7" s="9"/>
      <c r="M7" s="71"/>
      <c r="N7" s="10" t="s">
        <v>463</v>
      </c>
      <c r="O7" s="10"/>
      <c r="P7" s="10"/>
      <c r="Q7" s="10"/>
      <c r="R7" s="10"/>
      <c r="S7" s="10"/>
      <c r="T7" s="10"/>
      <c r="U7" s="10"/>
      <c r="V7" s="10"/>
    </row>
    <row r="8" spans="1:22" s="8" customFormat="1" ht="13.5" thickBot="1">
      <c r="A8" s="15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s="8" customFormat="1" ht="35.25" customHeight="1" thickBot="1">
      <c r="A9" s="15">
        <f>1.33*2+1.5+3</f>
        <v>7.16</v>
      </c>
      <c r="B9" s="67" t="s">
        <v>39</v>
      </c>
      <c r="C9" s="554" t="s">
        <v>293</v>
      </c>
      <c r="D9" s="555"/>
      <c r="E9" s="556"/>
      <c r="F9" s="554" t="s">
        <v>314</v>
      </c>
      <c r="G9" s="555"/>
      <c r="H9" s="556"/>
      <c r="I9" s="546" t="s">
        <v>315</v>
      </c>
      <c r="J9" s="547"/>
      <c r="K9" s="548"/>
      <c r="L9" s="181"/>
      <c r="M9" s="182"/>
      <c r="N9" s="546" t="s">
        <v>461</v>
      </c>
      <c r="O9" s="547"/>
      <c r="P9" s="547"/>
      <c r="Q9" s="547"/>
      <c r="R9" s="547"/>
      <c r="S9" s="548"/>
      <c r="T9" s="57"/>
      <c r="U9" s="57"/>
      <c r="V9" s="58"/>
    </row>
    <row r="10" spans="1:22" s="8" customFormat="1" ht="13.5" thickBot="1">
      <c r="A10" s="15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8" customFormat="1" ht="28.5" customHeight="1" thickBot="1">
      <c r="A11" s="15">
        <f>2+2+4</f>
        <v>8</v>
      </c>
      <c r="B11" s="62" t="s">
        <v>40</v>
      </c>
      <c r="C11" s="543" t="s">
        <v>285</v>
      </c>
      <c r="D11" s="544"/>
      <c r="E11" s="544"/>
      <c r="F11" s="545"/>
      <c r="G11" s="535" t="s">
        <v>316</v>
      </c>
      <c r="H11" s="644"/>
      <c r="I11" s="644"/>
      <c r="J11" s="644"/>
      <c r="K11" s="645"/>
      <c r="L11" s="181"/>
      <c r="M11" s="182"/>
      <c r="N11" s="558" t="s">
        <v>317</v>
      </c>
      <c r="O11" s="558"/>
      <c r="P11" s="558"/>
      <c r="Q11" s="558"/>
      <c r="R11" s="558"/>
      <c r="S11" s="558"/>
      <c r="T11" s="558"/>
      <c r="U11" s="559"/>
      <c r="V11" s="58"/>
    </row>
    <row r="12" spans="1:22" s="8" customFormat="1" ht="13.5" thickBot="1">
      <c r="A12" s="9"/>
      <c r="B12" s="50"/>
      <c r="C12" s="9"/>
      <c r="D12" s="9"/>
      <c r="E12" s="9"/>
      <c r="F12" s="9"/>
      <c r="G12" s="9"/>
      <c r="H12" s="9"/>
      <c r="I12" s="9"/>
      <c r="J12" s="9"/>
      <c r="K12" s="9"/>
      <c r="L12" s="9"/>
      <c r="M12" s="71"/>
      <c r="N12" s="219"/>
      <c r="O12" s="219"/>
      <c r="P12" s="219"/>
      <c r="Q12" s="219"/>
      <c r="R12" s="219"/>
      <c r="S12" s="219"/>
      <c r="T12" s="219"/>
      <c r="U12" s="219"/>
      <c r="V12" s="10"/>
    </row>
    <row r="13" spans="1:22" s="8" customFormat="1" ht="57" customHeight="1" thickBot="1">
      <c r="A13" s="15">
        <f>1+3+3</f>
        <v>7</v>
      </c>
      <c r="B13" s="67" t="s">
        <v>41</v>
      </c>
      <c r="C13" s="646" t="s">
        <v>318</v>
      </c>
      <c r="D13" s="536"/>
      <c r="E13" s="557" t="s">
        <v>319</v>
      </c>
      <c r="F13" s="558"/>
      <c r="G13" s="558"/>
      <c r="H13" s="558"/>
      <c r="I13" s="558"/>
      <c r="J13" s="558"/>
      <c r="K13" s="559"/>
      <c r="L13" s="181"/>
      <c r="M13" s="182"/>
      <c r="N13" s="557" t="s">
        <v>320</v>
      </c>
      <c r="O13" s="558"/>
      <c r="P13" s="558"/>
      <c r="Q13" s="558"/>
      <c r="R13" s="558"/>
      <c r="S13" s="559"/>
      <c r="T13" s="220"/>
      <c r="U13" s="220"/>
      <c r="V13" s="58"/>
    </row>
    <row r="15" spans="1:4" ht="13.5" thickBot="1">
      <c r="A15" s="393">
        <f>((5+4/5)*'sem 44'!A14+'sem 45'!A2)/(6+4/5)</f>
        <v>34.913235294117655</v>
      </c>
      <c r="D15" s="216" t="s">
        <v>331</v>
      </c>
    </row>
    <row r="16" spans="1:21" ht="13.5" customHeight="1" thickBot="1">
      <c r="A16" s="217" t="s">
        <v>459</v>
      </c>
      <c r="T16" s="397"/>
      <c r="U16" s="398"/>
    </row>
    <row r="21" spans="4:6" ht="12.75">
      <c r="D21" s="9"/>
      <c r="E21" s="9"/>
      <c r="F21" s="9"/>
    </row>
  </sheetData>
  <sheetProtection/>
  <mergeCells count="15">
    <mergeCell ref="C11:F11"/>
    <mergeCell ref="G11:K11"/>
    <mergeCell ref="N11:U11"/>
    <mergeCell ref="C13:D13"/>
    <mergeCell ref="E13:K13"/>
    <mergeCell ref="N13:S13"/>
    <mergeCell ref="M4:O4"/>
    <mergeCell ref="N6:S6"/>
    <mergeCell ref="F9:H9"/>
    <mergeCell ref="I9:K9"/>
    <mergeCell ref="C4:I4"/>
    <mergeCell ref="E6:K6"/>
    <mergeCell ref="Q4:S4"/>
    <mergeCell ref="C9:E9"/>
    <mergeCell ref="N9:S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34.66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33.75" customHeight="1" thickBot="1">
      <c r="A4" s="15">
        <f>3.5+1.33+1.5</f>
        <v>6.33</v>
      </c>
      <c r="B4" s="67" t="s">
        <v>37</v>
      </c>
      <c r="C4" s="180"/>
      <c r="D4" s="218"/>
      <c r="E4" s="540" t="s">
        <v>313</v>
      </c>
      <c r="F4" s="541"/>
      <c r="G4" s="541"/>
      <c r="H4" s="541"/>
      <c r="I4" s="541"/>
      <c r="J4" s="541"/>
      <c r="K4" s="542"/>
      <c r="L4" s="181"/>
      <c r="M4" s="182"/>
      <c r="N4" s="555" t="s">
        <v>310</v>
      </c>
      <c r="O4" s="555"/>
      <c r="P4" s="556"/>
      <c r="Q4" s="638" t="s">
        <v>348</v>
      </c>
      <c r="R4" s="639"/>
      <c r="S4" s="639"/>
      <c r="T4" s="373" t="s">
        <v>418</v>
      </c>
      <c r="U4" s="57"/>
      <c r="V4" s="58"/>
    </row>
    <row r="5" spans="1:22" s="8" customFormat="1" ht="13.5" thickBot="1">
      <c r="A5" s="15"/>
      <c r="B5" s="15"/>
      <c r="C5"/>
      <c r="D5"/>
      <c r="E5"/>
      <c r="F5"/>
      <c r="G5"/>
      <c r="H5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v>7</v>
      </c>
      <c r="B6" s="62" t="s">
        <v>38</v>
      </c>
      <c r="C6" s="646" t="s">
        <v>233</v>
      </c>
      <c r="D6" s="650"/>
      <c r="E6" s="650"/>
      <c r="F6" s="650"/>
      <c r="G6" s="650"/>
      <c r="H6" s="650"/>
      <c r="I6" s="650"/>
      <c r="J6" s="650"/>
      <c r="K6" s="536"/>
      <c r="L6" s="181"/>
      <c r="M6" s="182"/>
      <c r="N6" s="535" t="s">
        <v>235</v>
      </c>
      <c r="O6" s="650"/>
      <c r="P6" s="650"/>
      <c r="Q6" s="650"/>
      <c r="R6" s="650"/>
      <c r="S6" s="650"/>
      <c r="T6" s="536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v>7.5</v>
      </c>
      <c r="B8" s="67" t="s">
        <v>39</v>
      </c>
      <c r="C8" s="537" t="s">
        <v>471</v>
      </c>
      <c r="D8" s="538"/>
      <c r="E8" s="538"/>
      <c r="F8" s="538"/>
      <c r="G8" s="538"/>
      <c r="H8" s="538"/>
      <c r="I8" s="538"/>
      <c r="J8" s="539"/>
      <c r="K8" s="242"/>
      <c r="L8" s="182"/>
      <c r="M8" s="540" t="s">
        <v>470</v>
      </c>
      <c r="N8" s="541"/>
      <c r="O8" s="541"/>
      <c r="P8" s="541"/>
      <c r="Q8" s="541"/>
      <c r="R8" s="541"/>
      <c r="S8" s="542"/>
      <c r="T8" s="57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38.25" customHeight="1" thickBot="1">
      <c r="A10" s="15">
        <f>1.33+1.5+1+2+2</f>
        <v>7.83</v>
      </c>
      <c r="B10" s="62" t="s">
        <v>40</v>
      </c>
      <c r="C10" s="560" t="s">
        <v>293</v>
      </c>
      <c r="D10" s="555"/>
      <c r="E10" s="556"/>
      <c r="F10" s="647" t="s">
        <v>349</v>
      </c>
      <c r="G10" s="648"/>
      <c r="H10" s="649"/>
      <c r="I10" s="540" t="s">
        <v>321</v>
      </c>
      <c r="J10" s="541"/>
      <c r="K10" s="542"/>
      <c r="L10" s="181"/>
      <c r="M10" s="182"/>
      <c r="N10" s="624" t="s">
        <v>322</v>
      </c>
      <c r="O10" s="625"/>
      <c r="P10" s="625"/>
      <c r="Q10" s="625"/>
      <c r="R10" s="540" t="s">
        <v>323</v>
      </c>
      <c r="S10" s="541"/>
      <c r="T10" s="541"/>
      <c r="U10" s="542"/>
      <c r="V10" s="58"/>
    </row>
    <row r="11" spans="1:22" s="8" customFormat="1" ht="13.5" thickBot="1">
      <c r="A11" s="9"/>
      <c r="B11" s="50"/>
      <c r="C11" s="386"/>
      <c r="D11" s="9"/>
      <c r="E11" s="9"/>
      <c r="F11" s="9"/>
      <c r="G11" s="9"/>
      <c r="H11" s="9"/>
      <c r="I11" s="9"/>
      <c r="J11" s="9"/>
      <c r="K11" s="9"/>
      <c r="L11" s="9"/>
      <c r="M11" s="71"/>
      <c r="N11" s="214"/>
      <c r="O11" s="10"/>
      <c r="P11" s="10"/>
      <c r="Q11" s="10"/>
      <c r="R11" s="10"/>
      <c r="S11" s="10"/>
      <c r="T11" s="10"/>
      <c r="U11" s="10"/>
      <c r="V11" s="10"/>
    </row>
    <row r="12" spans="1:22" s="8" customFormat="1" ht="52.5" customHeight="1" thickBot="1">
      <c r="A12" s="15">
        <f>1+1+2+2</f>
        <v>6</v>
      </c>
      <c r="B12" s="67" t="s">
        <v>41</v>
      </c>
      <c r="C12" s="651" t="s">
        <v>324</v>
      </c>
      <c r="D12" s="625"/>
      <c r="E12" s="540" t="s">
        <v>350</v>
      </c>
      <c r="F12" s="542"/>
      <c r="G12" s="625" t="s">
        <v>325</v>
      </c>
      <c r="H12" s="625"/>
      <c r="I12" s="625"/>
      <c r="J12" s="625"/>
      <c r="K12" s="626"/>
      <c r="L12" s="181"/>
      <c r="M12" s="182"/>
      <c r="N12" s="630" t="s">
        <v>488</v>
      </c>
      <c r="O12" s="544"/>
      <c r="P12" s="544"/>
      <c r="Q12" s="545"/>
      <c r="R12" s="101"/>
      <c r="S12" s="101"/>
      <c r="T12" s="101"/>
      <c r="U12" s="101"/>
      <c r="V12" s="58"/>
    </row>
    <row r="14" spans="1:13" ht="12.75" customHeight="1">
      <c r="A14" s="393">
        <f>((6+4/5)*'sem 45'!A15+'sem 48'!A2)/(7+4/5)</f>
        <v>34.88076923076924</v>
      </c>
      <c r="M14" s="217"/>
    </row>
    <row r="15" ht="13.5" customHeight="1">
      <c r="A15" s="217" t="s">
        <v>459</v>
      </c>
    </row>
    <row r="17" ht="13.5" customHeight="1"/>
    <row r="19" ht="13.5" customHeight="1"/>
    <row r="21" ht="13.5" customHeight="1"/>
    <row r="23" ht="13.5" customHeight="1"/>
    <row r="25" ht="13.5" customHeight="1"/>
  </sheetData>
  <sheetProtection/>
  <mergeCells count="16">
    <mergeCell ref="N12:Q12"/>
    <mergeCell ref="C8:J8"/>
    <mergeCell ref="M8:S8"/>
    <mergeCell ref="E12:F12"/>
    <mergeCell ref="C6:K6"/>
    <mergeCell ref="N6:T6"/>
    <mergeCell ref="G12:K12"/>
    <mergeCell ref="N10:Q10"/>
    <mergeCell ref="R10:U10"/>
    <mergeCell ref="C12:D12"/>
    <mergeCell ref="C10:E10"/>
    <mergeCell ref="E4:K4"/>
    <mergeCell ref="I10:K10"/>
    <mergeCell ref="Q4:S4"/>
    <mergeCell ref="F10:H10"/>
    <mergeCell ref="N4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F1">
      <selection activeCell="B1" sqref="B1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36.08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1.33+2+2+2.75</f>
        <v>8.08</v>
      </c>
      <c r="B4" s="67" t="s">
        <v>37</v>
      </c>
      <c r="C4" s="554" t="s">
        <v>282</v>
      </c>
      <c r="D4" s="555"/>
      <c r="E4" s="556"/>
      <c r="F4" s="630" t="s">
        <v>375</v>
      </c>
      <c r="G4" s="544"/>
      <c r="H4" s="544"/>
      <c r="I4" s="545"/>
      <c r="J4" s="181"/>
      <c r="K4" s="182"/>
      <c r="L4" s="371" t="s">
        <v>427</v>
      </c>
      <c r="M4" s="639" t="s">
        <v>376</v>
      </c>
      <c r="N4" s="639"/>
      <c r="O4" s="639"/>
      <c r="P4" s="640"/>
      <c r="Q4" s="537" t="s">
        <v>377</v>
      </c>
      <c r="R4" s="538"/>
      <c r="S4" s="538"/>
      <c r="T4" s="538"/>
      <c r="U4" s="539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9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3.5+2+1.5</f>
        <v>7</v>
      </c>
      <c r="B6" s="62" t="s">
        <v>38</v>
      </c>
      <c r="C6" s="180"/>
      <c r="D6" s="218"/>
      <c r="E6" s="540" t="s">
        <v>313</v>
      </c>
      <c r="F6" s="541"/>
      <c r="G6" s="541"/>
      <c r="H6" s="541"/>
      <c r="I6" s="541"/>
      <c r="J6" s="541"/>
      <c r="K6" s="542"/>
      <c r="L6" s="181"/>
      <c r="M6" s="182"/>
      <c r="N6" s="540" t="s">
        <v>326</v>
      </c>
      <c r="O6" s="541"/>
      <c r="P6" s="541"/>
      <c r="Q6" s="542"/>
      <c r="R6" s="652" t="s">
        <v>422</v>
      </c>
      <c r="S6" s="639"/>
      <c r="T6" s="640"/>
      <c r="U6" s="369" t="s">
        <v>418</v>
      </c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235">
        <f>4+3</f>
        <v>7</v>
      </c>
      <c r="B8" s="67" t="s">
        <v>39</v>
      </c>
      <c r="C8" s="654" t="s">
        <v>242</v>
      </c>
      <c r="D8" s="654"/>
      <c r="E8" s="654"/>
      <c r="F8" s="654"/>
      <c r="G8" s="654"/>
      <c r="H8" s="654"/>
      <c r="I8" s="654"/>
      <c r="J8" s="654"/>
      <c r="K8" s="659"/>
      <c r="L8" s="656" t="s">
        <v>472</v>
      </c>
      <c r="M8" s="657"/>
      <c r="N8" s="653" t="s">
        <v>339</v>
      </c>
      <c r="O8" s="654"/>
      <c r="P8" s="654"/>
      <c r="Q8" s="654"/>
      <c r="R8" s="654"/>
      <c r="S8" s="654"/>
      <c r="T8" s="654"/>
      <c r="U8" s="654"/>
      <c r="V8" s="655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235">
        <v>7</v>
      </c>
      <c r="B10" s="62" t="s">
        <v>40</v>
      </c>
      <c r="C10" s="658" t="s">
        <v>243</v>
      </c>
      <c r="D10" s="654"/>
      <c r="E10" s="654"/>
      <c r="F10" s="654"/>
      <c r="G10" s="654"/>
      <c r="H10" s="654"/>
      <c r="I10" s="654"/>
      <c r="J10" s="654"/>
      <c r="K10" s="659"/>
      <c r="L10" s="656" t="s">
        <v>472</v>
      </c>
      <c r="M10" s="657"/>
      <c r="N10" s="653" t="s">
        <v>243</v>
      </c>
      <c r="O10" s="654"/>
      <c r="P10" s="654"/>
      <c r="Q10" s="654"/>
      <c r="R10" s="654"/>
      <c r="S10" s="654"/>
      <c r="T10" s="654"/>
      <c r="U10" s="654"/>
      <c r="V10" s="655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235">
        <v>7</v>
      </c>
      <c r="B12" s="67" t="s">
        <v>41</v>
      </c>
      <c r="C12" s="658" t="s">
        <v>337</v>
      </c>
      <c r="D12" s="654"/>
      <c r="E12" s="654"/>
      <c r="F12" s="654"/>
      <c r="G12" s="654"/>
      <c r="H12" s="654"/>
      <c r="I12" s="654"/>
      <c r="J12" s="654"/>
      <c r="K12" s="659"/>
      <c r="L12" s="656" t="s">
        <v>472</v>
      </c>
      <c r="M12" s="657"/>
      <c r="N12" s="653" t="s">
        <v>338</v>
      </c>
      <c r="O12" s="654"/>
      <c r="P12" s="654"/>
      <c r="Q12" s="654"/>
      <c r="R12" s="654"/>
      <c r="S12" s="654"/>
      <c r="T12" s="654"/>
      <c r="U12" s="654"/>
      <c r="V12" s="655"/>
    </row>
    <row r="14" spans="1:16" ht="13.5" customHeight="1">
      <c r="A14" s="393">
        <f>((7+4/5)*'sem 48'!A14+'sem 49'!A2)/(8+4/5)</f>
        <v>35.01704545454545</v>
      </c>
      <c r="M14" s="217"/>
      <c r="N14" s="217"/>
      <c r="O14" s="217"/>
      <c r="P14" s="217"/>
    </row>
    <row r="15" spans="1:15" ht="12.75">
      <c r="A15" s="217" t="s">
        <v>459</v>
      </c>
      <c r="O15" s="216"/>
    </row>
    <row r="16" ht="13.5" customHeight="1">
      <c r="O16" s="228"/>
    </row>
    <row r="18" ht="13.5" customHeight="1"/>
    <row r="21" ht="13.5" customHeight="1"/>
    <row r="22" ht="13.5" customHeight="1">
      <c r="F22" s="11"/>
    </row>
  </sheetData>
  <sheetProtection/>
  <mergeCells count="16">
    <mergeCell ref="L12:M12"/>
    <mergeCell ref="E6:K6"/>
    <mergeCell ref="M4:P4"/>
    <mergeCell ref="C4:E4"/>
    <mergeCell ref="C12:K12"/>
    <mergeCell ref="N12:V12"/>
    <mergeCell ref="C8:K8"/>
    <mergeCell ref="N8:V8"/>
    <mergeCell ref="C10:K10"/>
    <mergeCell ref="Q4:U4"/>
    <mergeCell ref="R6:T6"/>
    <mergeCell ref="F4:I4"/>
    <mergeCell ref="N6:Q6"/>
    <mergeCell ref="N10:V10"/>
    <mergeCell ref="L8:M8"/>
    <mergeCell ref="L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34.5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1.5+3+3</f>
        <v>7.5</v>
      </c>
      <c r="B4" s="67" t="s">
        <v>37</v>
      </c>
      <c r="C4" s="652" t="s">
        <v>453</v>
      </c>
      <c r="D4" s="639"/>
      <c r="E4" s="640"/>
      <c r="F4" s="630" t="s">
        <v>327</v>
      </c>
      <c r="G4" s="544"/>
      <c r="H4" s="544"/>
      <c r="I4" s="544"/>
      <c r="J4" s="544"/>
      <c r="K4" s="544"/>
      <c r="L4" s="545"/>
      <c r="M4" s="215"/>
      <c r="N4" s="630" t="s">
        <v>328</v>
      </c>
      <c r="O4" s="544"/>
      <c r="P4" s="544"/>
      <c r="Q4" s="544"/>
      <c r="R4" s="544"/>
      <c r="S4" s="545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3+3</f>
        <v>6</v>
      </c>
      <c r="B6" s="62" t="s">
        <v>38</v>
      </c>
      <c r="C6" s="180"/>
      <c r="D6" s="101"/>
      <c r="E6" s="101"/>
      <c r="F6" s="630" t="s">
        <v>327</v>
      </c>
      <c r="G6" s="544"/>
      <c r="H6" s="544"/>
      <c r="I6" s="544"/>
      <c r="J6" s="544"/>
      <c r="K6" s="544"/>
      <c r="L6" s="545"/>
      <c r="M6" s="215"/>
      <c r="N6" s="630" t="s">
        <v>328</v>
      </c>
      <c r="O6" s="544"/>
      <c r="P6" s="544"/>
      <c r="Q6" s="544"/>
      <c r="R6" s="544"/>
      <c r="S6" s="545"/>
      <c r="T6" s="660" t="s">
        <v>223</v>
      </c>
      <c r="U6" s="661"/>
      <c r="V6" s="662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7">
        <f>2+1.5+4</f>
        <v>7.5</v>
      </c>
      <c r="B8" s="67" t="s">
        <v>39</v>
      </c>
      <c r="C8" s="180"/>
      <c r="D8" s="101"/>
      <c r="E8" s="537" t="s">
        <v>274</v>
      </c>
      <c r="F8" s="538"/>
      <c r="G8" s="538"/>
      <c r="H8" s="539"/>
      <c r="I8" s="546" t="s">
        <v>295</v>
      </c>
      <c r="J8" s="547"/>
      <c r="K8" s="548"/>
      <c r="L8" s="181"/>
      <c r="M8" s="182"/>
      <c r="N8" s="537" t="s">
        <v>351</v>
      </c>
      <c r="O8" s="538"/>
      <c r="P8" s="538"/>
      <c r="Q8" s="538"/>
      <c r="R8" s="538"/>
      <c r="S8" s="538"/>
      <c r="T8" s="538"/>
      <c r="U8" s="539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7">
        <f>1.5+3+3</f>
        <v>7.5</v>
      </c>
      <c r="B10" s="62" t="s">
        <v>40</v>
      </c>
      <c r="C10" s="663" t="s">
        <v>454</v>
      </c>
      <c r="D10" s="648"/>
      <c r="E10" s="649"/>
      <c r="F10" s="630" t="s">
        <v>327</v>
      </c>
      <c r="G10" s="544"/>
      <c r="H10" s="544"/>
      <c r="I10" s="544"/>
      <c r="J10" s="544"/>
      <c r="K10" s="544"/>
      <c r="L10" s="545"/>
      <c r="M10" s="215"/>
      <c r="N10" s="630" t="s">
        <v>328</v>
      </c>
      <c r="O10" s="544"/>
      <c r="P10" s="544"/>
      <c r="Q10" s="544"/>
      <c r="R10" s="544"/>
      <c r="S10" s="545"/>
      <c r="T10" s="57"/>
      <c r="U10" s="57"/>
      <c r="V10" s="58"/>
    </row>
    <row r="11" spans="1:22" s="8" customFormat="1" ht="13.5" thickBot="1">
      <c r="A11" s="386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7">
        <f>3+3</f>
        <v>6</v>
      </c>
      <c r="B12" s="67" t="s">
        <v>41</v>
      </c>
      <c r="C12" s="180"/>
      <c r="D12" s="101"/>
      <c r="E12" s="101"/>
      <c r="F12" s="630" t="s">
        <v>327</v>
      </c>
      <c r="G12" s="544"/>
      <c r="H12" s="544"/>
      <c r="I12" s="544"/>
      <c r="J12" s="544"/>
      <c r="K12" s="544"/>
      <c r="L12" s="545"/>
      <c r="M12" s="215"/>
      <c r="N12" s="630" t="s">
        <v>328</v>
      </c>
      <c r="O12" s="544"/>
      <c r="P12" s="544"/>
      <c r="Q12" s="544"/>
      <c r="R12" s="544"/>
      <c r="S12" s="545"/>
      <c r="T12" s="660" t="s">
        <v>223</v>
      </c>
      <c r="U12" s="661"/>
      <c r="V12" s="662"/>
    </row>
    <row r="14" spans="1:4" ht="12.75">
      <c r="A14" s="393">
        <f>((8+4/5)*'sem 49'!A14+'sem 50'!A2)/(9+4/5)</f>
        <v>34.964285714285715</v>
      </c>
      <c r="D14" s="216" t="s">
        <v>332</v>
      </c>
    </row>
    <row r="15" ht="13.5" customHeight="1">
      <c r="A15" s="217" t="s">
        <v>459</v>
      </c>
    </row>
    <row r="16" ht="12.75">
      <c r="D16" s="216" t="s">
        <v>492</v>
      </c>
    </row>
  </sheetData>
  <sheetProtection/>
  <mergeCells count="15">
    <mergeCell ref="F10:L10"/>
    <mergeCell ref="N10:S10"/>
    <mergeCell ref="E8:H8"/>
    <mergeCell ref="F12:L12"/>
    <mergeCell ref="N12:S12"/>
    <mergeCell ref="T12:V12"/>
    <mergeCell ref="N8:U8"/>
    <mergeCell ref="I8:K8"/>
    <mergeCell ref="C10:E10"/>
    <mergeCell ref="C4:E4"/>
    <mergeCell ref="F4:L4"/>
    <mergeCell ref="N4:S4"/>
    <mergeCell ref="F6:L6"/>
    <mergeCell ref="N6:S6"/>
    <mergeCell ref="T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11.57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SUM(A4:A12)</f>
        <v>31.92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64" t="s">
        <v>539</v>
      </c>
      <c r="H3" s="664"/>
      <c r="I3" s="664"/>
      <c r="J3" s="664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28.5" customHeight="1" thickBot="1">
      <c r="A4" s="15">
        <f>2+1.75+4</f>
        <v>7.75</v>
      </c>
      <c r="B4" s="67" t="s">
        <v>37</v>
      </c>
      <c r="C4" s="561" t="s">
        <v>502</v>
      </c>
      <c r="D4" s="541"/>
      <c r="E4" s="541"/>
      <c r="F4" s="541"/>
      <c r="G4" s="666" t="s">
        <v>537</v>
      </c>
      <c r="H4" s="667"/>
      <c r="I4" s="667"/>
      <c r="J4" s="668"/>
      <c r="K4" s="308"/>
      <c r="L4" s="181"/>
      <c r="M4" s="182"/>
      <c r="N4" s="650" t="s">
        <v>234</v>
      </c>
      <c r="O4" s="650"/>
      <c r="P4" s="650"/>
      <c r="Q4" s="650"/>
      <c r="R4" s="650"/>
      <c r="S4" s="650"/>
      <c r="T4" s="650"/>
      <c r="U4" s="650"/>
      <c r="V4" s="665"/>
    </row>
    <row r="5" spans="2:22" ht="13.5" thickBo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ht="28.5" customHeight="1" thickBot="1">
      <c r="A6" s="15">
        <f>4+2</f>
        <v>6</v>
      </c>
      <c r="B6" s="62" t="s">
        <v>38</v>
      </c>
      <c r="C6" s="646" t="s">
        <v>233</v>
      </c>
      <c r="D6" s="650"/>
      <c r="E6" s="650"/>
      <c r="F6" s="650"/>
      <c r="G6" s="650"/>
      <c r="H6" s="650"/>
      <c r="I6" s="650"/>
      <c r="J6" s="650"/>
      <c r="K6" s="536"/>
      <c r="L6" s="181"/>
      <c r="M6" s="182"/>
      <c r="N6" s="540" t="s">
        <v>538</v>
      </c>
      <c r="O6" s="541"/>
      <c r="P6" s="541"/>
      <c r="Q6" s="542"/>
      <c r="R6" s="57"/>
      <c r="S6" s="57"/>
      <c r="T6" s="57"/>
      <c r="U6" s="57"/>
      <c r="V6" s="58"/>
    </row>
    <row r="7" spans="2:22" ht="13.5" thickBot="1"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ht="28.5" customHeight="1" thickBot="1">
      <c r="A8" s="7">
        <f>2.67+4</f>
        <v>6.67</v>
      </c>
      <c r="B8" s="67" t="s">
        <v>39</v>
      </c>
      <c r="C8" s="180"/>
      <c r="D8" s="101"/>
      <c r="E8" s="218"/>
      <c r="F8" s="547" t="s">
        <v>503</v>
      </c>
      <c r="G8" s="547"/>
      <c r="H8" s="547"/>
      <c r="I8" s="547"/>
      <c r="J8" s="547"/>
      <c r="K8" s="548"/>
      <c r="L8" s="181"/>
      <c r="M8" s="182"/>
      <c r="N8" s="537" t="s">
        <v>504</v>
      </c>
      <c r="O8" s="538"/>
      <c r="P8" s="538"/>
      <c r="Q8" s="538"/>
      <c r="R8" s="538"/>
      <c r="S8" s="538"/>
      <c r="T8" s="538"/>
      <c r="U8" s="539"/>
      <c r="V8" s="58"/>
    </row>
    <row r="9" spans="1:22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ht="28.5" customHeight="1" thickBot="1">
      <c r="A10" s="7">
        <f>1+2+2.5</f>
        <v>5.5</v>
      </c>
      <c r="B10" s="62" t="s">
        <v>40</v>
      </c>
      <c r="C10" s="180"/>
      <c r="D10" s="638" t="s">
        <v>540</v>
      </c>
      <c r="E10" s="640"/>
      <c r="F10" s="369" t="s">
        <v>419</v>
      </c>
      <c r="G10" s="540" t="s">
        <v>505</v>
      </c>
      <c r="H10" s="541"/>
      <c r="I10" s="541"/>
      <c r="J10" s="541"/>
      <c r="K10" s="542"/>
      <c r="L10" s="181"/>
      <c r="M10" s="182"/>
      <c r="N10" s="557" t="s">
        <v>508</v>
      </c>
      <c r="O10" s="558"/>
      <c r="P10" s="558"/>
      <c r="Q10" s="558"/>
      <c r="R10" s="559"/>
      <c r="S10" s="57"/>
      <c r="T10" s="57"/>
      <c r="U10" s="57"/>
      <c r="V10" s="58"/>
    </row>
    <row r="11" spans="1:22" ht="13.5" thickBot="1">
      <c r="A11" s="386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214"/>
      <c r="O11" s="214"/>
      <c r="P11" s="214"/>
      <c r="Q11" s="214"/>
      <c r="R11" s="214"/>
      <c r="S11" s="10"/>
      <c r="T11" s="10"/>
      <c r="U11" s="10"/>
      <c r="V11" s="10"/>
    </row>
    <row r="12" spans="1:22" ht="28.5" customHeight="1" thickBot="1">
      <c r="A12" s="7">
        <f>2+1.5+2.5</f>
        <v>6</v>
      </c>
      <c r="B12" s="67" t="s">
        <v>41</v>
      </c>
      <c r="C12" s="561" t="s">
        <v>506</v>
      </c>
      <c r="D12" s="541"/>
      <c r="E12" s="541"/>
      <c r="F12" s="541"/>
      <c r="G12" s="638" t="s">
        <v>507</v>
      </c>
      <c r="H12" s="639"/>
      <c r="I12" s="639"/>
      <c r="J12" s="640"/>
      <c r="K12" s="369" t="s">
        <v>417</v>
      </c>
      <c r="L12" s="181"/>
      <c r="M12" s="182"/>
      <c r="N12" s="557" t="s">
        <v>508</v>
      </c>
      <c r="O12" s="558"/>
      <c r="P12" s="558"/>
      <c r="Q12" s="558"/>
      <c r="R12" s="559"/>
      <c r="S12" s="57"/>
      <c r="T12" s="57"/>
      <c r="U12" s="57"/>
      <c r="V12" s="58"/>
    </row>
    <row r="14" spans="1:4" ht="12.75">
      <c r="A14" s="429">
        <f>((9+4/5)*'sem 50'!A14+'sem 2'!A2)/(10+4/5)</f>
        <v>34.68240740740741</v>
      </c>
      <c r="D14" s="216" t="s">
        <v>498</v>
      </c>
    </row>
    <row r="15" ht="13.5" customHeight="1">
      <c r="A15" s="176" t="s">
        <v>459</v>
      </c>
    </row>
    <row r="17" ht="13.5" customHeight="1"/>
    <row r="18" ht="13.5" customHeight="1"/>
    <row r="19" ht="13.5" customHeight="1"/>
    <row r="21" ht="13.5" customHeight="1"/>
    <row r="23" ht="13.5" customHeight="1"/>
  </sheetData>
  <sheetProtection/>
  <mergeCells count="14">
    <mergeCell ref="N12:R12"/>
    <mergeCell ref="C4:F4"/>
    <mergeCell ref="C12:F12"/>
    <mergeCell ref="G10:K10"/>
    <mergeCell ref="D10:E10"/>
    <mergeCell ref="N8:U8"/>
    <mergeCell ref="G12:J12"/>
    <mergeCell ref="N6:Q6"/>
    <mergeCell ref="G3:J3"/>
    <mergeCell ref="N4:V4"/>
    <mergeCell ref="G4:J4"/>
    <mergeCell ref="C6:K6"/>
    <mergeCell ref="F8:K8"/>
    <mergeCell ref="N10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J13" sqref="J13"/>
    </sheetView>
  </sheetViews>
  <sheetFormatPr defaultColWidth="11.57421875" defaultRowHeight="12.75"/>
  <cols>
    <col min="1" max="1" width="11.57421875" style="15" customWidth="1"/>
    <col min="2" max="16384" width="11.57421875" style="234" customWidth="1"/>
  </cols>
  <sheetData>
    <row r="1" spans="1:11" ht="14.25" customHeight="1">
      <c r="A1" s="15">
        <v>35</v>
      </c>
      <c r="K1" s="241"/>
    </row>
    <row r="2" spans="1:22" s="229" customFormat="1" ht="25.5">
      <c r="A2" s="6">
        <f>SUM(A4:A12)</f>
        <v>32.5</v>
      </c>
      <c r="C2" s="229" t="s">
        <v>17</v>
      </c>
      <c r="D2" s="229" t="s">
        <v>18</v>
      </c>
      <c r="E2" s="229" t="s">
        <v>19</v>
      </c>
      <c r="F2" s="229" t="s">
        <v>20</v>
      </c>
      <c r="G2" s="229" t="s">
        <v>21</v>
      </c>
      <c r="H2" s="229" t="s">
        <v>22</v>
      </c>
      <c r="I2" s="229" t="s">
        <v>23</v>
      </c>
      <c r="J2" s="229" t="s">
        <v>24</v>
      </c>
      <c r="K2" s="229" t="s">
        <v>25</v>
      </c>
      <c r="L2" s="229" t="s">
        <v>26</v>
      </c>
      <c r="M2" s="230" t="s">
        <v>27</v>
      </c>
      <c r="N2" s="229" t="s">
        <v>28</v>
      </c>
      <c r="O2" s="229" t="s">
        <v>29</v>
      </c>
      <c r="P2" s="229" t="s">
        <v>30</v>
      </c>
      <c r="Q2" s="229" t="s">
        <v>31</v>
      </c>
      <c r="R2" s="229" t="s">
        <v>32</v>
      </c>
      <c r="S2" s="229" t="s">
        <v>33</v>
      </c>
      <c r="T2" s="229" t="s">
        <v>34</v>
      </c>
      <c r="U2" s="229" t="s">
        <v>35</v>
      </c>
      <c r="V2" s="229" t="s">
        <v>36</v>
      </c>
    </row>
    <row r="3" spans="1:22" s="231" customFormat="1" ht="13.5" thickBot="1">
      <c r="A3" s="6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36.75" customHeight="1" thickBot="1">
      <c r="A4" s="15">
        <v>7</v>
      </c>
      <c r="B4" s="316" t="s">
        <v>390</v>
      </c>
      <c r="C4" s="317"/>
      <c r="D4" s="317"/>
      <c r="E4" s="546" t="s">
        <v>493</v>
      </c>
      <c r="F4" s="547"/>
      <c r="G4" s="547"/>
      <c r="H4" s="547"/>
      <c r="I4" s="547"/>
      <c r="J4" s="548"/>
      <c r="K4" s="207"/>
      <c r="L4" s="181"/>
      <c r="M4" s="546" t="s">
        <v>494</v>
      </c>
      <c r="N4" s="547"/>
      <c r="O4" s="547"/>
      <c r="P4" s="547"/>
      <c r="Q4" s="547"/>
      <c r="R4" s="547"/>
      <c r="S4" s="548"/>
      <c r="T4" s="669"/>
      <c r="U4" s="669"/>
      <c r="V4" s="670"/>
    </row>
    <row r="5" spans="2:22" ht="13.5" thickBot="1">
      <c r="B5" s="235"/>
      <c r="C5" s="236"/>
      <c r="D5" s="236"/>
      <c r="E5" s="386"/>
      <c r="F5" s="386"/>
      <c r="G5" s="386"/>
      <c r="H5" s="386"/>
      <c r="I5" s="386"/>
      <c r="J5" s="386"/>
      <c r="K5" s="386"/>
      <c r="L5" s="386"/>
      <c r="M5" s="396"/>
      <c r="N5" s="214"/>
      <c r="O5" s="214"/>
      <c r="P5" s="214"/>
      <c r="Q5" s="214"/>
      <c r="R5" s="214"/>
      <c r="S5" s="214"/>
      <c r="T5" s="238"/>
      <c r="U5" s="238"/>
      <c r="V5" s="238"/>
    </row>
    <row r="6" spans="1:22" ht="36.75" customHeight="1" thickBot="1">
      <c r="A6" s="15">
        <v>7</v>
      </c>
      <c r="B6" s="316" t="s">
        <v>38</v>
      </c>
      <c r="C6" s="317"/>
      <c r="D6" s="317"/>
      <c r="E6" s="546" t="s">
        <v>493</v>
      </c>
      <c r="F6" s="547"/>
      <c r="G6" s="547"/>
      <c r="H6" s="547"/>
      <c r="I6" s="547"/>
      <c r="J6" s="548"/>
      <c r="K6" s="207"/>
      <c r="L6" s="181"/>
      <c r="M6" s="546" t="s">
        <v>494</v>
      </c>
      <c r="N6" s="547"/>
      <c r="O6" s="547"/>
      <c r="P6" s="547"/>
      <c r="Q6" s="547"/>
      <c r="R6" s="547"/>
      <c r="S6" s="548"/>
      <c r="T6" s="669"/>
      <c r="U6" s="669"/>
      <c r="V6" s="670"/>
    </row>
    <row r="7" spans="2:22" ht="13.5" thickBot="1">
      <c r="B7" s="23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238"/>
      <c r="O7" s="238"/>
      <c r="P7" s="238"/>
      <c r="Q7" s="238"/>
      <c r="R7" s="238"/>
      <c r="S7" s="238"/>
      <c r="T7" s="238"/>
      <c r="U7" s="238"/>
      <c r="V7" s="238"/>
    </row>
    <row r="8" spans="1:22" ht="94.5" customHeight="1" thickBot="1">
      <c r="A8" s="7">
        <f>0.5+3+3</f>
        <v>6.5</v>
      </c>
      <c r="B8" s="316" t="s">
        <v>39</v>
      </c>
      <c r="C8" s="463"/>
      <c r="D8" s="394" t="s">
        <v>541</v>
      </c>
      <c r="E8" s="557" t="s">
        <v>542</v>
      </c>
      <c r="F8" s="558"/>
      <c r="G8" s="558"/>
      <c r="H8" s="558"/>
      <c r="I8" s="558"/>
      <c r="J8" s="559"/>
      <c r="K8" s="671" t="s">
        <v>232</v>
      </c>
      <c r="L8" s="672"/>
      <c r="M8" s="673"/>
      <c r="N8" s="557" t="s">
        <v>495</v>
      </c>
      <c r="O8" s="558"/>
      <c r="P8" s="558"/>
      <c r="Q8" s="558"/>
      <c r="R8" s="558"/>
      <c r="S8" s="559"/>
      <c r="T8" s="669"/>
      <c r="U8" s="669"/>
      <c r="V8" s="670"/>
    </row>
    <row r="9" spans="1:22" ht="13.5" thickBot="1">
      <c r="A9" s="7"/>
      <c r="B9" s="239"/>
      <c r="C9" s="236"/>
      <c r="D9" s="236"/>
      <c r="E9" s="386"/>
      <c r="F9" s="386"/>
      <c r="G9" s="386"/>
      <c r="H9" s="386"/>
      <c r="I9" s="386"/>
      <c r="J9" s="386"/>
      <c r="K9" s="395"/>
      <c r="L9" s="386"/>
      <c r="M9" s="396"/>
      <c r="N9" s="214"/>
      <c r="O9" s="214"/>
      <c r="P9" s="214"/>
      <c r="Q9" s="214"/>
      <c r="R9" s="214"/>
      <c r="S9" s="214"/>
      <c r="T9" s="238"/>
      <c r="U9" s="238"/>
      <c r="V9" s="238"/>
    </row>
    <row r="10" spans="1:22" ht="35.25" customHeight="1" thickBot="1">
      <c r="A10" s="7">
        <v>6</v>
      </c>
      <c r="B10" s="318" t="s">
        <v>40</v>
      </c>
      <c r="C10" s="674"/>
      <c r="D10" s="675"/>
      <c r="E10" s="558" t="s">
        <v>496</v>
      </c>
      <c r="F10" s="558"/>
      <c r="G10" s="558"/>
      <c r="H10" s="558"/>
      <c r="I10" s="558"/>
      <c r="J10" s="558"/>
      <c r="K10" s="671" t="s">
        <v>232</v>
      </c>
      <c r="L10" s="672"/>
      <c r="M10" s="673"/>
      <c r="N10" s="557" t="s">
        <v>497</v>
      </c>
      <c r="O10" s="558"/>
      <c r="P10" s="558"/>
      <c r="Q10" s="558"/>
      <c r="R10" s="558"/>
      <c r="S10" s="559"/>
      <c r="T10" s="669"/>
      <c r="U10" s="669"/>
      <c r="V10" s="670"/>
    </row>
    <row r="11" spans="1:22" ht="13.5" thickBot="1">
      <c r="A11" s="386"/>
      <c r="B11" s="240"/>
      <c r="C11" s="236"/>
      <c r="D11" s="236"/>
      <c r="E11" s="386"/>
      <c r="F11" s="386"/>
      <c r="G11" s="386"/>
      <c r="H11" s="386"/>
      <c r="I11" s="386"/>
      <c r="J11" s="386"/>
      <c r="K11" s="386"/>
      <c r="L11" s="386"/>
      <c r="M11" s="396"/>
      <c r="N11" s="214"/>
      <c r="O11" s="214"/>
      <c r="P11" s="214"/>
      <c r="Q11" s="214"/>
      <c r="R11" s="214"/>
      <c r="S11" s="214"/>
      <c r="T11" s="238"/>
      <c r="U11" s="238"/>
      <c r="V11" s="238"/>
    </row>
    <row r="12" spans="1:22" ht="28.5" customHeight="1" thickBot="1">
      <c r="A12" s="7">
        <v>6</v>
      </c>
      <c r="B12" s="316" t="s">
        <v>41</v>
      </c>
      <c r="C12" s="674"/>
      <c r="D12" s="675"/>
      <c r="E12" s="557" t="s">
        <v>496</v>
      </c>
      <c r="F12" s="558"/>
      <c r="G12" s="558"/>
      <c r="H12" s="558"/>
      <c r="I12" s="558"/>
      <c r="J12" s="558"/>
      <c r="K12" s="671" t="s">
        <v>232</v>
      </c>
      <c r="L12" s="672"/>
      <c r="M12" s="673"/>
      <c r="N12" s="557" t="s">
        <v>495</v>
      </c>
      <c r="O12" s="558"/>
      <c r="P12" s="558"/>
      <c r="Q12" s="558"/>
      <c r="R12" s="558"/>
      <c r="S12" s="559"/>
      <c r="T12" s="669"/>
      <c r="U12" s="669"/>
      <c r="V12" s="670"/>
    </row>
    <row r="14" ht="79.5" customHeight="1">
      <c r="A14" s="429">
        <f>((10+4/5)*'sem 2'!A14+'sem 3'!A2)/(11+4/5)</f>
        <v>34.49745762711865</v>
      </c>
    </row>
    <row r="15" ht="12.75">
      <c r="A15" s="176" t="s">
        <v>459</v>
      </c>
    </row>
  </sheetData>
  <sheetProtection/>
  <mergeCells count="20">
    <mergeCell ref="N8:S8"/>
    <mergeCell ref="E6:J6"/>
    <mergeCell ref="M6:S6"/>
    <mergeCell ref="E8:J8"/>
    <mergeCell ref="K8:M8"/>
    <mergeCell ref="T4:V4"/>
    <mergeCell ref="T6:V6"/>
    <mergeCell ref="E4:J4"/>
    <mergeCell ref="M4:S4"/>
    <mergeCell ref="T8:V8"/>
    <mergeCell ref="T12:V12"/>
    <mergeCell ref="N10:S10"/>
    <mergeCell ref="E12:J12"/>
    <mergeCell ref="K12:M12"/>
    <mergeCell ref="N12:S12"/>
    <mergeCell ref="C12:D12"/>
    <mergeCell ref="C10:D10"/>
    <mergeCell ref="E10:J10"/>
    <mergeCell ref="K10:M10"/>
    <mergeCell ref="T10:V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7">
      <selection activeCell="A18" sqref="A18"/>
    </sheetView>
  </sheetViews>
  <sheetFormatPr defaultColWidth="11.421875" defaultRowHeight="12.75"/>
  <cols>
    <col min="1" max="1" width="11.57421875" style="15" customWidth="1"/>
    <col min="2" max="16384" width="11.421875" style="8" customWidth="1"/>
  </cols>
  <sheetData>
    <row r="1" ht="12.75">
      <c r="A1" s="15">
        <v>21</v>
      </c>
    </row>
    <row r="2" spans="1:22" s="4" customFormat="1" ht="25.5">
      <c r="A2" s="6">
        <f>SUM(A4:A15)</f>
        <v>21.08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48.75" customHeight="1" thickBot="1">
      <c r="A4" s="15">
        <v>7.5</v>
      </c>
      <c r="B4" s="683" t="s">
        <v>37</v>
      </c>
      <c r="C4" s="180"/>
      <c r="D4" s="101"/>
      <c r="E4" s="546" t="s">
        <v>519</v>
      </c>
      <c r="F4" s="547"/>
      <c r="G4" s="547"/>
      <c r="H4" s="548"/>
      <c r="I4" s="540" t="s">
        <v>523</v>
      </c>
      <c r="J4" s="541"/>
      <c r="K4" s="541"/>
      <c r="L4" s="541"/>
      <c r="M4" s="421"/>
      <c r="N4" s="700" t="s">
        <v>543</v>
      </c>
      <c r="O4" s="701"/>
      <c r="P4" s="701"/>
      <c r="Q4" s="702"/>
      <c r="R4" s="700" t="s">
        <v>544</v>
      </c>
      <c r="S4" s="701"/>
      <c r="T4" s="701"/>
      <c r="U4" s="702"/>
      <c r="V4" s="58"/>
    </row>
    <row r="5" spans="2:22" ht="13.5" customHeight="1">
      <c r="B5" s="695"/>
      <c r="C5" s="466"/>
      <c r="D5" s="467"/>
      <c r="E5" s="468" t="s">
        <v>428</v>
      </c>
      <c r="F5" s="468"/>
      <c r="G5" s="468"/>
      <c r="H5" s="468"/>
      <c r="I5" s="468" t="s">
        <v>429</v>
      </c>
      <c r="J5" s="469"/>
      <c r="K5" s="470"/>
      <c r="L5" s="482"/>
      <c r="M5" s="483"/>
      <c r="N5" s="471" t="s">
        <v>400</v>
      </c>
      <c r="O5" s="472"/>
      <c r="P5" s="473"/>
      <c r="Q5" s="473"/>
      <c r="R5" s="471" t="s">
        <v>401</v>
      </c>
      <c r="S5" s="473"/>
      <c r="T5" s="473"/>
      <c r="U5" s="473"/>
      <c r="V5" s="474"/>
    </row>
    <row r="6" spans="2:22" ht="13.5" customHeight="1" thickBot="1">
      <c r="B6" s="684"/>
      <c r="C6" s="475"/>
      <c r="D6" s="476"/>
      <c r="E6" s="477"/>
      <c r="F6" s="477"/>
      <c r="G6" s="477"/>
      <c r="H6" s="477"/>
      <c r="I6" s="477"/>
      <c r="J6" s="478"/>
      <c r="K6" s="479"/>
      <c r="L6" s="481"/>
      <c r="M6" s="485"/>
      <c r="N6" s="484"/>
      <c r="O6" s="697" t="s">
        <v>547</v>
      </c>
      <c r="P6" s="698"/>
      <c r="Q6" s="698"/>
      <c r="R6" s="698"/>
      <c r="S6" s="698"/>
      <c r="T6" s="698"/>
      <c r="U6" s="699"/>
      <c r="V6" s="480"/>
    </row>
    <row r="7" spans="2:22" ht="13.5" customHeight="1" thickBot="1">
      <c r="B7" s="15"/>
      <c r="H7" s="68"/>
      <c r="I7" s="377"/>
      <c r="J7" s="378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ht="28.5" customHeight="1" thickBot="1">
      <c r="A8" s="15">
        <v>5.75</v>
      </c>
      <c r="B8" s="62" t="s">
        <v>38</v>
      </c>
      <c r="C8" s="696" t="s">
        <v>558</v>
      </c>
      <c r="D8" s="547"/>
      <c r="E8" s="547"/>
      <c r="F8" s="548"/>
      <c r="G8" s="546" t="s">
        <v>509</v>
      </c>
      <c r="H8" s="547"/>
      <c r="I8" s="547"/>
      <c r="J8" s="548"/>
      <c r="K8" s="99"/>
      <c r="L8" s="181"/>
      <c r="M8" s="182"/>
      <c r="N8" s="537" t="s">
        <v>551</v>
      </c>
      <c r="O8" s="538"/>
      <c r="P8" s="538"/>
      <c r="Q8" s="538"/>
      <c r="R8" s="538"/>
      <c r="S8" s="538"/>
      <c r="T8" s="538"/>
      <c r="U8" s="539"/>
      <c r="V8" s="58"/>
    </row>
    <row r="9" spans="1:22" ht="13.5" thickBot="1">
      <c r="A9" s="7"/>
      <c r="B9" s="50"/>
      <c r="C9" s="9"/>
      <c r="D9" s="9"/>
      <c r="E9" s="9"/>
      <c r="F9" s="9"/>
      <c r="G9" s="9"/>
      <c r="H9" s="9"/>
      <c r="I9" s="55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ht="60.75" thickBot="1">
      <c r="A10" s="7">
        <v>7.83</v>
      </c>
      <c r="B10" s="67" t="s">
        <v>39</v>
      </c>
      <c r="C10" s="180"/>
      <c r="D10" s="218"/>
      <c r="E10" s="371" t="s">
        <v>417</v>
      </c>
      <c r="F10" s="638" t="s">
        <v>510</v>
      </c>
      <c r="G10" s="639"/>
      <c r="H10" s="639"/>
      <c r="I10" s="537" t="s">
        <v>559</v>
      </c>
      <c r="J10" s="538"/>
      <c r="K10" s="539"/>
      <c r="L10" s="181"/>
      <c r="M10" s="182"/>
      <c r="N10" s="537" t="s">
        <v>551</v>
      </c>
      <c r="O10" s="538"/>
      <c r="P10" s="538"/>
      <c r="Q10" s="538"/>
      <c r="R10" s="538"/>
      <c r="S10" s="539"/>
      <c r="T10" s="465" t="s">
        <v>552</v>
      </c>
      <c r="U10" s="489" t="s">
        <v>512</v>
      </c>
      <c r="V10" s="58"/>
    </row>
    <row r="11" spans="1:22" ht="13.5" thickBot="1">
      <c r="A11" s="7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53.25" customHeight="1" thickBot="1">
      <c r="A12" s="386"/>
      <c r="B12" s="676" t="s">
        <v>40</v>
      </c>
      <c r="C12" s="496" t="s">
        <v>512</v>
      </c>
      <c r="D12" s="490" t="s">
        <v>511</v>
      </c>
      <c r="E12" s="689" t="s">
        <v>553</v>
      </c>
      <c r="F12" s="690"/>
      <c r="G12" s="690"/>
      <c r="H12" s="690"/>
      <c r="I12" s="690"/>
      <c r="J12" s="691"/>
      <c r="K12" s="491"/>
      <c r="L12" s="685"/>
      <c r="M12" s="686"/>
      <c r="N12" s="692" t="s">
        <v>550</v>
      </c>
      <c r="O12" s="693"/>
      <c r="P12" s="693"/>
      <c r="Q12" s="693"/>
      <c r="R12" s="693"/>
      <c r="S12" s="693"/>
      <c r="T12" s="694"/>
      <c r="U12" s="492"/>
      <c r="V12" s="58"/>
    </row>
    <row r="13" spans="1:22" ht="28.5" customHeight="1" thickBot="1">
      <c r="A13" s="440"/>
      <c r="B13" s="677"/>
      <c r="C13" s="678" t="s">
        <v>473</v>
      </c>
      <c r="D13" s="679"/>
      <c r="E13" s="679"/>
      <c r="F13" s="679"/>
      <c r="G13" s="679"/>
      <c r="H13" s="679"/>
      <c r="I13" s="679"/>
      <c r="J13" s="679"/>
      <c r="K13" s="680"/>
      <c r="L13" s="687"/>
      <c r="M13" s="688"/>
      <c r="N13" s="681" t="s">
        <v>473</v>
      </c>
      <c r="O13" s="679"/>
      <c r="P13" s="679"/>
      <c r="Q13" s="679"/>
      <c r="R13" s="679"/>
      <c r="S13" s="679"/>
      <c r="T13" s="679"/>
      <c r="U13" s="679"/>
      <c r="V13" s="682"/>
    </row>
    <row r="14" spans="1:22" ht="13.5" thickBot="1">
      <c r="A14" s="7"/>
      <c r="B14" s="50"/>
      <c r="C14" s="9"/>
      <c r="D14" s="493"/>
      <c r="E14" s="493"/>
      <c r="F14" s="493"/>
      <c r="G14" s="493"/>
      <c r="H14" s="493"/>
      <c r="I14" s="493"/>
      <c r="J14" s="493"/>
      <c r="K14" s="493"/>
      <c r="L14" s="493"/>
      <c r="M14" s="494"/>
      <c r="N14" s="495"/>
      <c r="O14" s="495"/>
      <c r="P14" s="495"/>
      <c r="Q14" s="495"/>
      <c r="R14" s="495"/>
      <c r="S14" s="495"/>
      <c r="T14" s="495"/>
      <c r="U14" s="495"/>
      <c r="V14" s="10"/>
    </row>
    <row r="15" spans="2:22" ht="28.5" customHeight="1" thickBot="1">
      <c r="B15" s="683" t="s">
        <v>41</v>
      </c>
      <c r="C15" s="180"/>
      <c r="D15" s="666" t="s">
        <v>554</v>
      </c>
      <c r="E15" s="667"/>
      <c r="F15" s="667"/>
      <c r="G15" s="668"/>
      <c r="H15" s="692" t="s">
        <v>555</v>
      </c>
      <c r="I15" s="693"/>
      <c r="J15" s="693"/>
      <c r="K15" s="694"/>
      <c r="L15" s="685"/>
      <c r="M15" s="686"/>
      <c r="N15" s="703" t="s">
        <v>556</v>
      </c>
      <c r="O15" s="703"/>
      <c r="P15" s="703"/>
      <c r="Q15" s="703"/>
      <c r="R15" s="692" t="s">
        <v>557</v>
      </c>
      <c r="S15" s="693"/>
      <c r="T15" s="693"/>
      <c r="U15" s="694"/>
      <c r="V15" s="58"/>
    </row>
    <row r="16" spans="1:22" ht="28.5" customHeight="1" thickBot="1">
      <c r="A16" s="440"/>
      <c r="B16" s="684"/>
      <c r="C16" s="678" t="s">
        <v>473</v>
      </c>
      <c r="D16" s="679"/>
      <c r="E16" s="679"/>
      <c r="F16" s="679"/>
      <c r="G16" s="679"/>
      <c r="H16" s="679"/>
      <c r="I16" s="679"/>
      <c r="J16" s="679"/>
      <c r="K16" s="680"/>
      <c r="L16" s="687"/>
      <c r="M16" s="688"/>
      <c r="N16" s="681" t="s">
        <v>473</v>
      </c>
      <c r="O16" s="679"/>
      <c r="P16" s="679"/>
      <c r="Q16" s="679"/>
      <c r="R16" s="679"/>
      <c r="S16" s="679"/>
      <c r="T16" s="679"/>
      <c r="U16" s="679"/>
      <c r="V16" s="682"/>
    </row>
    <row r="18" spans="1:14" ht="13.5" customHeight="1">
      <c r="A18" s="429">
        <f>((11+4/5)*'sem 3'!A14+'sem 4'!A2)/(11+3/5+4/5)</f>
        <v>34.52822580645162</v>
      </c>
      <c r="N18" s="16"/>
    </row>
    <row r="19" spans="1:13" ht="12.75">
      <c r="A19" s="176" t="s">
        <v>459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1" ht="13.5" customHeight="1"/>
    <row r="23" ht="13.5" customHeight="1"/>
  </sheetData>
  <sheetProtection/>
  <mergeCells count="26">
    <mergeCell ref="O6:U6"/>
    <mergeCell ref="N4:Q4"/>
    <mergeCell ref="R4:U4"/>
    <mergeCell ref="N12:T12"/>
    <mergeCell ref="N15:Q15"/>
    <mergeCell ref="R15:U15"/>
    <mergeCell ref="N8:U8"/>
    <mergeCell ref="N10:S10"/>
    <mergeCell ref="N13:V13"/>
    <mergeCell ref="G8:J8"/>
    <mergeCell ref="E12:J12"/>
    <mergeCell ref="I4:L4"/>
    <mergeCell ref="E4:H4"/>
    <mergeCell ref="H15:K15"/>
    <mergeCell ref="B4:B6"/>
    <mergeCell ref="D15:G15"/>
    <mergeCell ref="I10:K10"/>
    <mergeCell ref="C8:F8"/>
    <mergeCell ref="C13:K13"/>
    <mergeCell ref="F10:H10"/>
    <mergeCell ref="B12:B13"/>
    <mergeCell ref="C16:K16"/>
    <mergeCell ref="N16:V16"/>
    <mergeCell ref="B15:B16"/>
    <mergeCell ref="L12:M13"/>
    <mergeCell ref="L15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1.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SUM(A4:A14)</f>
        <v>33.75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40.5" customHeight="1" thickBot="1">
      <c r="A4" s="15">
        <f>1.25+2.5+3</f>
        <v>6.75</v>
      </c>
      <c r="B4" s="67" t="s">
        <v>37</v>
      </c>
      <c r="C4" s="733" t="s">
        <v>513</v>
      </c>
      <c r="D4" s="734"/>
      <c r="E4" s="450" t="s">
        <v>483</v>
      </c>
      <c r="F4" s="373" t="s">
        <v>484</v>
      </c>
      <c r="G4" s="735" t="s">
        <v>514</v>
      </c>
      <c r="H4" s="736"/>
      <c r="I4" s="736"/>
      <c r="J4" s="736"/>
      <c r="K4" s="737"/>
      <c r="L4" s="181"/>
      <c r="M4" s="182"/>
      <c r="N4" s="535" t="s">
        <v>393</v>
      </c>
      <c r="O4" s="650"/>
      <c r="P4" s="650"/>
      <c r="Q4" s="650"/>
      <c r="R4" s="650"/>
      <c r="S4" s="650"/>
      <c r="T4" s="536"/>
      <c r="U4" s="57"/>
      <c r="V4" s="58"/>
    </row>
    <row r="5" spans="2:22" ht="13.5" thickBo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ht="24" customHeight="1">
      <c r="A6" s="739">
        <v>7</v>
      </c>
      <c r="B6" s="676" t="s">
        <v>38</v>
      </c>
      <c r="C6" s="741" t="s">
        <v>394</v>
      </c>
      <c r="D6" s="742"/>
      <c r="E6" s="742"/>
      <c r="F6" s="742"/>
      <c r="G6" s="742"/>
      <c r="H6" s="742"/>
      <c r="I6" s="742"/>
      <c r="J6" s="742"/>
      <c r="K6" s="743"/>
      <c r="L6" s="422"/>
      <c r="M6" s="717" t="s">
        <v>490</v>
      </c>
      <c r="N6" s="718"/>
      <c r="O6" s="718"/>
      <c r="P6" s="718"/>
      <c r="Q6" s="718"/>
      <c r="R6" s="719"/>
      <c r="S6" s="423"/>
      <c r="T6" s="747"/>
      <c r="U6" s="747"/>
      <c r="V6" s="748"/>
    </row>
    <row r="7" spans="1:22" ht="24" customHeight="1" thickBot="1">
      <c r="A7" s="739"/>
      <c r="B7" s="677"/>
      <c r="C7" s="744"/>
      <c r="D7" s="745"/>
      <c r="E7" s="745"/>
      <c r="F7" s="745"/>
      <c r="G7" s="745"/>
      <c r="H7" s="745"/>
      <c r="I7" s="745"/>
      <c r="J7" s="745"/>
      <c r="K7" s="746"/>
      <c r="L7" s="424"/>
      <c r="M7" s="425"/>
      <c r="N7" s="697" t="s">
        <v>562</v>
      </c>
      <c r="O7" s="698"/>
      <c r="P7" s="698"/>
      <c r="Q7" s="698"/>
      <c r="R7" s="698"/>
      <c r="S7" s="699"/>
      <c r="T7" s="749"/>
      <c r="U7" s="749"/>
      <c r="V7" s="750"/>
    </row>
    <row r="8" spans="1:22" ht="13.5" thickBot="1">
      <c r="A8" s="7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ht="28.5" customHeight="1" thickBot="1">
      <c r="A9" s="7">
        <v>7</v>
      </c>
      <c r="B9" s="67" t="s">
        <v>39</v>
      </c>
      <c r="C9" s="204"/>
      <c r="D9" s="205"/>
      <c r="E9" s="540" t="s">
        <v>501</v>
      </c>
      <c r="F9" s="541"/>
      <c r="G9" s="541"/>
      <c r="H9" s="541"/>
      <c r="I9" s="541"/>
      <c r="J9" s="541"/>
      <c r="K9" s="542"/>
      <c r="L9" s="181"/>
      <c r="M9" s="182"/>
      <c r="N9" s="537" t="s">
        <v>551</v>
      </c>
      <c r="O9" s="538"/>
      <c r="P9" s="538"/>
      <c r="Q9" s="538"/>
      <c r="R9" s="538"/>
      <c r="S9" s="538"/>
      <c r="T9" s="538"/>
      <c r="U9" s="539"/>
      <c r="V9" s="58"/>
    </row>
    <row r="10" spans="1:22" ht="13.5" thickBot="1">
      <c r="A10" s="7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7" customHeight="1">
      <c r="A11" s="740">
        <v>7</v>
      </c>
      <c r="B11" s="707" t="s">
        <v>40</v>
      </c>
      <c r="C11" s="738" t="s">
        <v>482</v>
      </c>
      <c r="D11" s="718"/>
      <c r="E11" s="718"/>
      <c r="F11" s="718"/>
      <c r="G11" s="718"/>
      <c r="H11" s="718"/>
      <c r="I11" s="726" t="s">
        <v>563</v>
      </c>
      <c r="J11" s="727"/>
      <c r="K11" s="728"/>
      <c r="L11" s="729"/>
      <c r="M11" s="730"/>
      <c r="N11" s="720" t="s">
        <v>515</v>
      </c>
      <c r="O11" s="721"/>
      <c r="P11" s="721"/>
      <c r="Q11" s="721"/>
      <c r="R11" s="721"/>
      <c r="S11" s="721"/>
      <c r="T11" s="722"/>
      <c r="U11" s="712"/>
      <c r="V11" s="713"/>
    </row>
    <row r="12" spans="1:22" ht="24" customHeight="1" thickBot="1">
      <c r="A12" s="740"/>
      <c r="B12" s="708"/>
      <c r="C12" s="709" t="s">
        <v>564</v>
      </c>
      <c r="D12" s="710"/>
      <c r="E12" s="710"/>
      <c r="F12" s="710"/>
      <c r="G12" s="710"/>
      <c r="H12" s="710"/>
      <c r="I12" s="710"/>
      <c r="J12" s="710"/>
      <c r="K12" s="711"/>
      <c r="L12" s="731"/>
      <c r="M12" s="732"/>
      <c r="N12" s="723"/>
      <c r="O12" s="724"/>
      <c r="P12" s="724"/>
      <c r="Q12" s="724"/>
      <c r="R12" s="724"/>
      <c r="S12" s="724"/>
      <c r="T12" s="725"/>
      <c r="U12" s="714"/>
      <c r="V12" s="715"/>
    </row>
    <row r="13" spans="2:22" ht="13.5" thickBot="1"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28.5" customHeight="1" thickBot="1">
      <c r="A14" s="15">
        <v>6</v>
      </c>
      <c r="B14" s="67" t="s">
        <v>41</v>
      </c>
      <c r="C14" s="704" t="s">
        <v>516</v>
      </c>
      <c r="D14" s="705"/>
      <c r="E14" s="705"/>
      <c r="F14" s="706"/>
      <c r="G14" s="716" t="s">
        <v>517</v>
      </c>
      <c r="H14" s="705"/>
      <c r="I14" s="705"/>
      <c r="J14" s="705"/>
      <c r="K14" s="706"/>
      <c r="L14" s="181"/>
      <c r="M14" s="182"/>
      <c r="N14" s="716" t="s">
        <v>518</v>
      </c>
      <c r="O14" s="705"/>
      <c r="P14" s="705"/>
      <c r="Q14" s="706"/>
      <c r="R14" s="101"/>
      <c r="S14" s="57"/>
      <c r="T14" s="57"/>
      <c r="U14" s="57"/>
      <c r="V14" s="58"/>
    </row>
    <row r="16" spans="1:4" ht="12.75">
      <c r="A16" s="429">
        <f>((11+3/5+4/5)*'sem 4'!A18+A2)/(12+3/5+4/5)</f>
        <v>34.47014925373135</v>
      </c>
      <c r="D16" s="16" t="s">
        <v>545</v>
      </c>
    </row>
    <row r="17" spans="1:4" ht="26.25" customHeight="1" thickBot="1">
      <c r="A17" s="176" t="s">
        <v>459</v>
      </c>
      <c r="D17" s="16"/>
    </row>
    <row r="18" spans="3:7" ht="12.75">
      <c r="C18" s="335" t="s">
        <v>481</v>
      </c>
      <c r="D18" s="441" t="s">
        <v>475</v>
      </c>
      <c r="E18" s="442" t="s">
        <v>478</v>
      </c>
      <c r="F18" s="443"/>
      <c r="G18" s="458" t="s">
        <v>500</v>
      </c>
    </row>
    <row r="19" spans="4:7" ht="12.75">
      <c r="D19" s="444" t="s">
        <v>476</v>
      </c>
      <c r="E19" s="445" t="s">
        <v>479</v>
      </c>
      <c r="F19" s="446"/>
      <c r="G19" s="457">
        <v>3</v>
      </c>
    </row>
    <row r="20" spans="4:7" ht="13.5" thickBot="1">
      <c r="D20" s="447" t="s">
        <v>477</v>
      </c>
      <c r="E20" s="448" t="s">
        <v>480</v>
      </c>
      <c r="F20" s="449"/>
      <c r="G20" s="458" t="s">
        <v>500</v>
      </c>
    </row>
    <row r="21" ht="12.75">
      <c r="F21" s="335"/>
    </row>
    <row r="22" ht="13.5" customHeight="1"/>
    <row r="23" ht="13.5" customHeight="1"/>
    <row r="26" ht="12.75" customHeight="1"/>
  </sheetData>
  <sheetProtection/>
  <mergeCells count="22">
    <mergeCell ref="N4:T4"/>
    <mergeCell ref="C4:D4"/>
    <mergeCell ref="G4:K4"/>
    <mergeCell ref="C11:H11"/>
    <mergeCell ref="A6:A7"/>
    <mergeCell ref="A11:A12"/>
    <mergeCell ref="B6:B7"/>
    <mergeCell ref="C6:K7"/>
    <mergeCell ref="E9:K9"/>
    <mergeCell ref="T6:V7"/>
    <mergeCell ref="N9:U9"/>
    <mergeCell ref="M6:R6"/>
    <mergeCell ref="N7:S7"/>
    <mergeCell ref="N11:T12"/>
    <mergeCell ref="I11:K11"/>
    <mergeCell ref="L11:M12"/>
    <mergeCell ref="C14:F14"/>
    <mergeCell ref="B11:B12"/>
    <mergeCell ref="C12:K12"/>
    <mergeCell ref="U11:V12"/>
    <mergeCell ref="N14:Q14"/>
    <mergeCell ref="G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D1">
      <selection activeCell="B16" sqref="B16"/>
    </sheetView>
  </sheetViews>
  <sheetFormatPr defaultColWidth="11.421875" defaultRowHeight="12.75"/>
  <cols>
    <col min="1" max="1" width="11.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SUM(A4:A14)</f>
        <v>30.25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24" customHeight="1">
      <c r="A4" s="739">
        <f>2+3</f>
        <v>5</v>
      </c>
      <c r="B4" s="683" t="s">
        <v>37</v>
      </c>
      <c r="C4" s="751"/>
      <c r="D4" s="747"/>
      <c r="E4" s="747"/>
      <c r="F4" s="752"/>
      <c r="G4" s="755" t="s">
        <v>524</v>
      </c>
      <c r="H4" s="755"/>
      <c r="I4" s="755"/>
      <c r="J4" s="756"/>
      <c r="K4" s="759"/>
      <c r="L4" s="428"/>
      <c r="M4" s="763" t="s">
        <v>491</v>
      </c>
      <c r="N4" s="764"/>
      <c r="O4" s="764"/>
      <c r="P4" s="764"/>
      <c r="Q4" s="764"/>
      <c r="R4" s="765"/>
      <c r="S4" s="426"/>
      <c r="T4" s="761"/>
      <c r="U4" s="761"/>
      <c r="V4" s="713"/>
    </row>
    <row r="5" spans="1:22" ht="24" customHeight="1" thickBot="1">
      <c r="A5" s="739"/>
      <c r="B5" s="684"/>
      <c r="C5" s="753"/>
      <c r="D5" s="749"/>
      <c r="E5" s="749"/>
      <c r="F5" s="754"/>
      <c r="G5" s="757"/>
      <c r="H5" s="757"/>
      <c r="I5" s="757"/>
      <c r="J5" s="758"/>
      <c r="K5" s="760"/>
      <c r="L5" s="424"/>
      <c r="M5" s="425"/>
      <c r="N5" s="697" t="s">
        <v>525</v>
      </c>
      <c r="O5" s="698"/>
      <c r="P5" s="698"/>
      <c r="Q5" s="698"/>
      <c r="R5" s="698"/>
      <c r="S5" s="699"/>
      <c r="T5" s="762"/>
      <c r="U5" s="762"/>
      <c r="V5" s="715"/>
    </row>
    <row r="6" spans="1:18" s="10" customFormat="1" ht="13.5" thickBo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27"/>
      <c r="N6" s="427"/>
      <c r="O6" s="427"/>
      <c r="P6" s="427"/>
      <c r="Q6" s="427"/>
      <c r="R6" s="427"/>
    </row>
    <row r="7" spans="1:22" ht="36" customHeight="1" thickBot="1">
      <c r="A7" s="15">
        <f>2+1+3.5</f>
        <v>6.5</v>
      </c>
      <c r="B7" s="62" t="s">
        <v>38</v>
      </c>
      <c r="C7" s="696" t="s">
        <v>561</v>
      </c>
      <c r="D7" s="547"/>
      <c r="E7" s="547"/>
      <c r="F7" s="548"/>
      <c r="G7" s="769" t="s">
        <v>560</v>
      </c>
      <c r="H7" s="770"/>
      <c r="I7" s="771"/>
      <c r="J7" s="456" t="s">
        <v>486</v>
      </c>
      <c r="K7" s="455"/>
      <c r="L7" s="181"/>
      <c r="M7" s="182"/>
      <c r="N7" s="537" t="s">
        <v>526</v>
      </c>
      <c r="O7" s="538"/>
      <c r="P7" s="538"/>
      <c r="Q7" s="538"/>
      <c r="R7" s="538"/>
      <c r="S7" s="538"/>
      <c r="T7" s="539"/>
      <c r="U7" s="57"/>
      <c r="V7" s="58"/>
    </row>
    <row r="8" spans="1:22" ht="13.5" thickBot="1">
      <c r="A8" s="7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ht="28.5" customHeight="1" thickBot="1">
      <c r="A9" s="7">
        <f>3+2+1.75</f>
        <v>6.75</v>
      </c>
      <c r="B9" s="67" t="s">
        <v>39</v>
      </c>
      <c r="C9" s="696" t="s">
        <v>527</v>
      </c>
      <c r="D9" s="547"/>
      <c r="E9" s="547"/>
      <c r="F9" s="547"/>
      <c r="G9" s="547"/>
      <c r="H9" s="547"/>
      <c r="I9" s="766"/>
      <c r="J9" s="767"/>
      <c r="K9" s="768"/>
      <c r="L9" s="181"/>
      <c r="M9" s="182"/>
      <c r="N9" s="535" t="s">
        <v>528</v>
      </c>
      <c r="O9" s="650"/>
      <c r="P9" s="650"/>
      <c r="Q9" s="536"/>
      <c r="R9" s="546" t="s">
        <v>565</v>
      </c>
      <c r="S9" s="547"/>
      <c r="T9" s="547"/>
      <c r="U9" s="548"/>
      <c r="V9" s="58"/>
    </row>
    <row r="10" spans="1:22" ht="12.75">
      <c r="A10" s="7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214" t="s">
        <v>485</v>
      </c>
      <c r="O10" s="10"/>
      <c r="P10" s="10"/>
      <c r="Q10" s="10"/>
      <c r="R10" s="10"/>
      <c r="S10" s="10"/>
      <c r="T10" s="10"/>
      <c r="U10" s="10"/>
      <c r="V10" s="10"/>
    </row>
    <row r="11" spans="1:22" ht="13.5" thickBot="1">
      <c r="A11" s="7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 thickBot="1">
      <c r="A12" s="386">
        <v>7</v>
      </c>
      <c r="B12" s="62" t="s">
        <v>40</v>
      </c>
      <c r="C12" s="658" t="s">
        <v>573</v>
      </c>
      <c r="D12" s="654"/>
      <c r="E12" s="654"/>
      <c r="F12" s="654"/>
      <c r="G12" s="654"/>
      <c r="H12" s="654"/>
      <c r="I12" s="654"/>
      <c r="J12" s="654"/>
      <c r="K12" s="659"/>
      <c r="L12" s="181"/>
      <c r="M12" s="182"/>
      <c r="N12" s="653" t="s">
        <v>572</v>
      </c>
      <c r="O12" s="654"/>
      <c r="P12" s="654"/>
      <c r="Q12" s="654"/>
      <c r="R12" s="654"/>
      <c r="S12" s="654"/>
      <c r="T12" s="654"/>
      <c r="U12" s="654"/>
      <c r="V12" s="655"/>
    </row>
    <row r="13" spans="1:22" ht="13.5" thickBot="1">
      <c r="A13" s="7"/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57" customHeight="1" thickBot="1">
      <c r="A14" s="15">
        <v>5</v>
      </c>
      <c r="B14" s="67" t="s">
        <v>41</v>
      </c>
      <c r="C14" s="646" t="s">
        <v>395</v>
      </c>
      <c r="D14" s="650"/>
      <c r="E14" s="650"/>
      <c r="F14" s="650"/>
      <c r="G14" s="650"/>
      <c r="H14" s="650"/>
      <c r="I14" s="650"/>
      <c r="J14" s="536"/>
      <c r="K14" s="99"/>
      <c r="L14" s="181"/>
      <c r="M14" s="182"/>
      <c r="N14" s="535" t="s">
        <v>396</v>
      </c>
      <c r="O14" s="650"/>
      <c r="P14" s="536"/>
      <c r="Q14" s="540" t="s">
        <v>571</v>
      </c>
      <c r="R14" s="542"/>
      <c r="S14" s="101"/>
      <c r="T14" s="101"/>
      <c r="U14" s="101"/>
      <c r="V14" s="500"/>
    </row>
    <row r="16" spans="1:7" ht="12.75" customHeight="1">
      <c r="A16" s="429">
        <f>((12+3/5+4/5)*'sem 7'!A16+'sem 8'!A2)/(13+3/5+4/5)</f>
        <v>34.177083333333336</v>
      </c>
      <c r="C16" s="335"/>
      <c r="D16" s="335"/>
      <c r="E16" s="335"/>
      <c r="F16" s="335"/>
      <c r="G16" s="335"/>
    </row>
    <row r="17" ht="13.5" customHeight="1">
      <c r="A17" s="176" t="s">
        <v>459</v>
      </c>
    </row>
    <row r="18" spans="3:13" ht="13.5" customHeight="1">
      <c r="C18" s="335"/>
      <c r="D18" s="335"/>
      <c r="E18" s="335"/>
      <c r="F18" s="335"/>
      <c r="G18" s="335"/>
      <c r="M18" s="335"/>
    </row>
    <row r="19" ht="13.5" customHeight="1"/>
    <row r="20" ht="12.75">
      <c r="M20" s="335"/>
    </row>
    <row r="23" ht="13.5" customHeight="1"/>
  </sheetData>
  <sheetProtection/>
  <mergeCells count="20">
    <mergeCell ref="Q14:R14"/>
    <mergeCell ref="C14:J14"/>
    <mergeCell ref="C7:F7"/>
    <mergeCell ref="N14:P14"/>
    <mergeCell ref="C12:K12"/>
    <mergeCell ref="N12:V12"/>
    <mergeCell ref="C9:H9"/>
    <mergeCell ref="N7:T7"/>
    <mergeCell ref="I9:K9"/>
    <mergeCell ref="G7:I7"/>
    <mergeCell ref="C4:F5"/>
    <mergeCell ref="A4:A5"/>
    <mergeCell ref="G4:J5"/>
    <mergeCell ref="K4:K5"/>
    <mergeCell ref="N9:Q9"/>
    <mergeCell ref="N5:S5"/>
    <mergeCell ref="B4:B5"/>
    <mergeCell ref="R9:U9"/>
    <mergeCell ref="T4:V5"/>
    <mergeCell ref="M4:R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F1">
      <selection activeCell="Q11" sqref="Q11"/>
    </sheetView>
  </sheetViews>
  <sheetFormatPr defaultColWidth="11.421875" defaultRowHeight="12.75"/>
  <cols>
    <col min="1" max="1" width="11.421875" style="387" customWidth="1"/>
  </cols>
  <sheetData>
    <row r="1" ht="12.75">
      <c r="A1" s="387">
        <v>35</v>
      </c>
    </row>
    <row r="2" spans="1:22" s="4" customFormat="1" ht="25.5">
      <c r="A2" s="6">
        <f>SUM(A4:A12)</f>
        <v>35.25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3.5+3</f>
        <v>6.5</v>
      </c>
      <c r="B4" s="67" t="s">
        <v>37</v>
      </c>
      <c r="C4" s="540" t="s">
        <v>487</v>
      </c>
      <c r="D4" s="541"/>
      <c r="E4" s="541"/>
      <c r="F4" s="541"/>
      <c r="G4" s="541"/>
      <c r="H4" s="541"/>
      <c r="I4" s="542"/>
      <c r="J4" s="101"/>
      <c r="K4" s="181"/>
      <c r="L4" s="181"/>
      <c r="M4" s="535" t="s">
        <v>566</v>
      </c>
      <c r="N4" s="650"/>
      <c r="O4" s="650"/>
      <c r="P4" s="650"/>
      <c r="Q4" s="650"/>
      <c r="R4" s="536"/>
      <c r="S4" s="101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3+1+3</f>
        <v>7</v>
      </c>
      <c r="B6" s="62" t="s">
        <v>38</v>
      </c>
      <c r="C6" s="696" t="s">
        <v>529</v>
      </c>
      <c r="D6" s="547"/>
      <c r="E6" s="547"/>
      <c r="F6" s="547"/>
      <c r="G6" s="547"/>
      <c r="H6" s="548"/>
      <c r="I6" s="552" t="s">
        <v>530</v>
      </c>
      <c r="J6" s="772"/>
      <c r="K6" s="553"/>
      <c r="L6" s="181"/>
      <c r="M6" s="182"/>
      <c r="N6" s="535" t="s">
        <v>567</v>
      </c>
      <c r="O6" s="650"/>
      <c r="P6" s="650"/>
      <c r="Q6" s="650"/>
      <c r="R6" s="650"/>
      <c r="S6" s="536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40.5" customHeight="1" thickBot="1">
      <c r="A8" s="7">
        <f>2+2+3</f>
        <v>7</v>
      </c>
      <c r="B8" s="67" t="s">
        <v>39</v>
      </c>
      <c r="C8" s="646" t="s">
        <v>575</v>
      </c>
      <c r="D8" s="650"/>
      <c r="E8" s="650"/>
      <c r="F8" s="536"/>
      <c r="G8" s="546" t="s">
        <v>576</v>
      </c>
      <c r="H8" s="547"/>
      <c r="I8" s="547"/>
      <c r="J8" s="547"/>
      <c r="K8" s="548"/>
      <c r="L8" s="181"/>
      <c r="M8" s="182"/>
      <c r="N8" s="540" t="s">
        <v>568</v>
      </c>
      <c r="O8" s="541"/>
      <c r="P8" s="541"/>
      <c r="Q8" s="541"/>
      <c r="R8" s="541"/>
      <c r="S8" s="542"/>
      <c r="T8" s="57"/>
      <c r="U8" s="57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42" customHeight="1" thickBot="1">
      <c r="A10" s="7">
        <f>2+1.75+2+2</f>
        <v>7.75</v>
      </c>
      <c r="B10" s="62" t="s">
        <v>40</v>
      </c>
      <c r="C10" s="535" t="s">
        <v>575</v>
      </c>
      <c r="D10" s="650"/>
      <c r="E10" s="650"/>
      <c r="F10" s="650"/>
      <c r="G10" s="546" t="s">
        <v>524</v>
      </c>
      <c r="H10" s="547"/>
      <c r="I10" s="547"/>
      <c r="J10" s="548"/>
      <c r="K10" s="181"/>
      <c r="L10" s="181"/>
      <c r="M10" s="535" t="s">
        <v>577</v>
      </c>
      <c r="N10" s="650"/>
      <c r="O10" s="650"/>
      <c r="P10" s="536"/>
      <c r="Q10" s="546" t="s">
        <v>578</v>
      </c>
      <c r="R10" s="547"/>
      <c r="S10" s="547"/>
      <c r="T10" s="548"/>
      <c r="U10" s="57"/>
      <c r="V10" s="58"/>
    </row>
    <row r="11" spans="1:22" s="8" customFormat="1" ht="13.5" thickBot="1">
      <c r="A11" s="386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30.75" customHeight="1" thickBot="1">
      <c r="A12" s="7">
        <f>2+2+3</f>
        <v>7</v>
      </c>
      <c r="B12" s="67" t="s">
        <v>41</v>
      </c>
      <c r="C12" s="696" t="s">
        <v>531</v>
      </c>
      <c r="D12" s="547"/>
      <c r="E12" s="547"/>
      <c r="F12" s="548"/>
      <c r="G12" s="540" t="s">
        <v>546</v>
      </c>
      <c r="H12" s="541"/>
      <c r="I12" s="541"/>
      <c r="J12" s="542"/>
      <c r="K12" s="181"/>
      <c r="L12" s="181"/>
      <c r="M12" s="540" t="s">
        <v>569</v>
      </c>
      <c r="N12" s="541"/>
      <c r="O12" s="541"/>
      <c r="P12" s="541"/>
      <c r="Q12" s="541"/>
      <c r="R12" s="542"/>
      <c r="S12" s="57"/>
      <c r="T12" s="57"/>
      <c r="U12" s="57"/>
      <c r="V12" s="58"/>
    </row>
    <row r="13" ht="13.5" customHeight="1">
      <c r="G13" s="11" t="s">
        <v>474</v>
      </c>
    </row>
    <row r="14" spans="1:3" ht="12.75">
      <c r="A14" s="393">
        <f>((13+3/5+4/5)*'sem 8'!A16+'sem 9'!A2)/(14+3/5+4/5)</f>
        <v>34.24675324675325</v>
      </c>
      <c r="C14" s="11" t="s">
        <v>191</v>
      </c>
    </row>
    <row r="15" spans="1:15" ht="13.5" customHeight="1">
      <c r="A15" s="217" t="s">
        <v>459</v>
      </c>
      <c r="M15" s="11"/>
      <c r="N15" s="11"/>
      <c r="O15" s="11"/>
    </row>
    <row r="16" spans="6:15" ht="13.5" customHeight="1">
      <c r="F16" s="11"/>
      <c r="K16" s="379"/>
      <c r="L16" s="379"/>
      <c r="M16" s="379"/>
      <c r="O16" s="379"/>
    </row>
    <row r="17" spans="6:10" ht="13.5" customHeight="1" thickBot="1">
      <c r="F17" s="11"/>
      <c r="G17" s="11"/>
      <c r="H17" s="11"/>
      <c r="I17" s="11"/>
      <c r="J17" s="11"/>
    </row>
    <row r="18" spans="1:21" ht="13.5" customHeight="1" thickBot="1">
      <c r="A18" s="497"/>
      <c r="B18" s="497"/>
      <c r="C18" s="497"/>
      <c r="D18" s="497"/>
      <c r="E18" s="497"/>
      <c r="N18" s="557" t="s">
        <v>548</v>
      </c>
      <c r="O18" s="558"/>
      <c r="P18" s="558"/>
      <c r="Q18" s="559"/>
      <c r="R18" s="557" t="s">
        <v>549</v>
      </c>
      <c r="S18" s="558"/>
      <c r="T18" s="558"/>
      <c r="U18" s="559"/>
    </row>
    <row r="19" spans="14:18" ht="12.75">
      <c r="N19" s="486" t="s">
        <v>400</v>
      </c>
      <c r="O19" s="487"/>
      <c r="P19" s="488"/>
      <c r="Q19" s="488"/>
      <c r="R19" s="486" t="s">
        <v>401</v>
      </c>
    </row>
    <row r="21" ht="13.5" customHeight="1"/>
    <row r="23" ht="13.5" customHeight="1"/>
    <row r="27" ht="13.5" customHeight="1"/>
  </sheetData>
  <sheetProtection/>
  <mergeCells count="17">
    <mergeCell ref="C12:F12"/>
    <mergeCell ref="C6:H6"/>
    <mergeCell ref="N8:S8"/>
    <mergeCell ref="M12:R12"/>
    <mergeCell ref="R18:U18"/>
    <mergeCell ref="G10:J10"/>
    <mergeCell ref="I6:K6"/>
    <mergeCell ref="N18:Q18"/>
    <mergeCell ref="G12:J12"/>
    <mergeCell ref="Q10:T10"/>
    <mergeCell ref="M4:R4"/>
    <mergeCell ref="N6:S6"/>
    <mergeCell ref="C8:F8"/>
    <mergeCell ref="C10:F10"/>
    <mergeCell ref="M10:P10"/>
    <mergeCell ref="G8:K8"/>
    <mergeCell ref="C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zoomScalePageLayoutView="0" workbookViewId="0" topLeftCell="A65">
      <selection activeCell="H90" sqref="H90"/>
    </sheetView>
  </sheetViews>
  <sheetFormatPr defaultColWidth="11.57421875" defaultRowHeight="12.75"/>
  <cols>
    <col min="1" max="1" width="8.28125" style="8" customWidth="1"/>
    <col min="2" max="2" width="14.140625" style="150" customWidth="1"/>
    <col min="3" max="3" width="55.28125" style="18" customWidth="1"/>
    <col min="4" max="4" width="18.8515625" style="172" customWidth="1"/>
    <col min="5" max="5" width="18.8515625" style="315" customWidth="1"/>
    <col min="6" max="6" width="8.28125" style="8" customWidth="1"/>
    <col min="7" max="7" width="8.28125" style="15" customWidth="1"/>
    <col min="8" max="10" width="8.28125" style="8" customWidth="1"/>
    <col min="11" max="11" width="11.7109375" style="8" customWidth="1"/>
    <col min="12" max="12" width="8.28125" style="8" customWidth="1"/>
    <col min="13" max="13" width="11.57421875" style="8" customWidth="1"/>
    <col min="14" max="14" width="17.140625" style="8" customWidth="1"/>
    <col min="15" max="15" width="20.8515625" style="8" customWidth="1"/>
    <col min="16" max="253" width="11.57421875" style="8" customWidth="1"/>
    <col min="254" max="16384" width="11.57421875" style="107" customWidth="1"/>
  </cols>
  <sheetData>
    <row r="1" spans="1:13" ht="24" thickBot="1">
      <c r="A1" s="1"/>
      <c r="B1" s="527" t="s">
        <v>94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9"/>
    </row>
    <row r="2" spans="1:13" ht="21" thickBot="1">
      <c r="A2" s="19"/>
      <c r="B2" s="110"/>
      <c r="C2" s="20"/>
      <c r="D2" s="103"/>
      <c r="E2" s="309"/>
      <c r="F2" s="7"/>
      <c r="G2" s="7"/>
      <c r="H2" s="7"/>
      <c r="I2" s="7"/>
      <c r="J2" s="7"/>
      <c r="K2" s="7"/>
      <c r="L2" s="7"/>
      <c r="M2" s="11"/>
    </row>
    <row r="3" spans="1:13" ht="21" thickBot="1">
      <c r="A3" s="2"/>
      <c r="B3" s="111"/>
      <c r="C3" s="21"/>
      <c r="D3" s="112"/>
      <c r="E3" s="310"/>
      <c r="F3" s="3"/>
      <c r="G3" s="3"/>
      <c r="H3" s="3"/>
      <c r="I3" s="3"/>
      <c r="J3" s="3"/>
      <c r="K3" s="3"/>
      <c r="L3" s="3"/>
      <c r="M3" s="22" t="s">
        <v>48</v>
      </c>
    </row>
    <row r="4" spans="1:13" ht="21" thickBot="1">
      <c r="A4" s="23"/>
      <c r="B4" s="515" t="s">
        <v>0</v>
      </c>
      <c r="C4" s="516"/>
      <c r="D4" s="516"/>
      <c r="E4" s="516"/>
      <c r="F4" s="516"/>
      <c r="G4" s="516"/>
      <c r="H4" s="516"/>
      <c r="I4" s="516"/>
      <c r="J4" s="516"/>
      <c r="K4" s="517"/>
      <c r="L4" s="24"/>
      <c r="M4" s="25"/>
    </row>
    <row r="5" spans="1:13" ht="26.25" thickBot="1">
      <c r="A5" s="23"/>
      <c r="B5" s="113"/>
      <c r="C5" s="26"/>
      <c r="D5" s="102" t="s">
        <v>95</v>
      </c>
      <c r="E5" s="311" t="s">
        <v>96</v>
      </c>
      <c r="F5" s="27" t="s">
        <v>1</v>
      </c>
      <c r="G5" s="27" t="s">
        <v>2</v>
      </c>
      <c r="H5" s="194" t="s">
        <v>16</v>
      </c>
      <c r="I5" s="27" t="s">
        <v>42</v>
      </c>
      <c r="J5" s="194" t="s">
        <v>3</v>
      </c>
      <c r="K5" s="200" t="s">
        <v>222</v>
      </c>
      <c r="L5" s="27" t="s">
        <v>4</v>
      </c>
      <c r="M5" s="28"/>
    </row>
    <row r="6" spans="1:14" ht="27" customHeight="1">
      <c r="A6" s="518" t="s">
        <v>5</v>
      </c>
      <c r="B6" s="114" t="s">
        <v>229</v>
      </c>
      <c r="C6" s="115" t="s">
        <v>97</v>
      </c>
      <c r="D6" s="129" t="s">
        <v>98</v>
      </c>
      <c r="E6" s="116" t="s">
        <v>99</v>
      </c>
      <c r="F6" s="117">
        <f>SUM(G6:J6)</f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27</v>
      </c>
      <c r="M6" s="119" t="s">
        <v>6</v>
      </c>
      <c r="N6" s="39"/>
    </row>
    <row r="7" spans="1:13" ht="26.25" thickBot="1">
      <c r="A7" s="519"/>
      <c r="B7" s="120" t="s">
        <v>230</v>
      </c>
      <c r="C7" s="121" t="s">
        <v>82</v>
      </c>
      <c r="D7" s="203" t="s">
        <v>361</v>
      </c>
      <c r="E7" s="122" t="s">
        <v>99</v>
      </c>
      <c r="F7" s="123">
        <f>SUM(G7:J7)</f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3</v>
      </c>
      <c r="M7" s="125" t="s">
        <v>6</v>
      </c>
    </row>
    <row r="8" spans="1:13" ht="12.75" customHeight="1" thickBot="1">
      <c r="A8" s="34"/>
      <c r="B8" s="126"/>
      <c r="C8" s="12"/>
      <c r="D8" s="102"/>
      <c r="E8" s="312"/>
      <c r="F8" s="127"/>
      <c r="G8" s="13"/>
      <c r="H8" s="13"/>
      <c r="I8" s="13"/>
      <c r="J8" s="13"/>
      <c r="K8" s="13"/>
      <c r="L8" s="13"/>
      <c r="M8" s="13"/>
    </row>
    <row r="9" spans="1:253" ht="12.75" customHeight="1">
      <c r="A9" s="518" t="s">
        <v>7</v>
      </c>
      <c r="B9" s="128" t="s">
        <v>225</v>
      </c>
      <c r="C9" s="115" t="s">
        <v>8</v>
      </c>
      <c r="D9" s="129" t="s">
        <v>98</v>
      </c>
      <c r="E9" s="313"/>
      <c r="F9" s="117">
        <f aca="true" t="shared" si="0" ref="F9:F18">SUM(G9:K9)</f>
        <v>91</v>
      </c>
      <c r="G9" s="117">
        <f>G10+G11+G12+G13+G18</f>
        <v>0</v>
      </c>
      <c r="H9" s="117">
        <f>H10+H11+H12+H13+H18+H19</f>
        <v>73</v>
      </c>
      <c r="I9" s="117">
        <f>I10+I11+I12+I13+I18+I19</f>
        <v>0</v>
      </c>
      <c r="J9" s="117">
        <f>J10+J11+J12+J13+J18+J19</f>
        <v>14</v>
      </c>
      <c r="K9" s="117">
        <f>K10+K11+K12+K13+K18+K19</f>
        <v>4</v>
      </c>
      <c r="L9" s="130">
        <v>6</v>
      </c>
      <c r="M9" s="131" t="s">
        <v>6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</row>
    <row r="10" spans="1:13" ht="13.5" customHeight="1">
      <c r="A10" s="520"/>
      <c r="B10" s="133" t="s">
        <v>249</v>
      </c>
      <c r="C10" s="134" t="s">
        <v>49</v>
      </c>
      <c r="D10" s="135"/>
      <c r="E10" s="196" t="s">
        <v>221</v>
      </c>
      <c r="F10" s="137">
        <f t="shared" si="0"/>
        <v>12</v>
      </c>
      <c r="G10" s="138">
        <v>0</v>
      </c>
      <c r="H10" s="213">
        <v>12</v>
      </c>
      <c r="I10" s="138">
        <v>0</v>
      </c>
      <c r="J10" s="138">
        <v>0</v>
      </c>
      <c r="K10" s="139">
        <v>0</v>
      </c>
      <c r="L10" s="31"/>
      <c r="M10" s="140"/>
    </row>
    <row r="11" spans="1:253" s="108" customFormat="1" ht="13.5" customHeight="1">
      <c r="A11" s="520"/>
      <c r="B11" s="133" t="s">
        <v>250</v>
      </c>
      <c r="C11" s="134" t="s">
        <v>50</v>
      </c>
      <c r="D11" s="135"/>
      <c r="E11" s="196" t="s">
        <v>100</v>
      </c>
      <c r="F11" s="137">
        <f t="shared" si="0"/>
        <v>20</v>
      </c>
      <c r="G11" s="138">
        <v>0</v>
      </c>
      <c r="H11" s="213">
        <v>16</v>
      </c>
      <c r="I11" s="138">
        <v>0</v>
      </c>
      <c r="J11" s="138">
        <v>0</v>
      </c>
      <c r="K11" s="195">
        <v>4</v>
      </c>
      <c r="L11" s="31"/>
      <c r="M11" s="14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13" ht="12.75" customHeight="1">
      <c r="A12" s="520"/>
      <c r="B12" s="133" t="s">
        <v>251</v>
      </c>
      <c r="C12" s="134" t="s">
        <v>51</v>
      </c>
      <c r="D12" s="135"/>
      <c r="E12" s="196" t="s">
        <v>101</v>
      </c>
      <c r="F12" s="137">
        <f t="shared" si="0"/>
        <v>4</v>
      </c>
      <c r="G12" s="138">
        <v>0</v>
      </c>
      <c r="H12" s="213">
        <v>4</v>
      </c>
      <c r="I12" s="138">
        <v>0</v>
      </c>
      <c r="J12" s="138">
        <v>0</v>
      </c>
      <c r="K12" s="139">
        <v>0</v>
      </c>
      <c r="L12" s="31"/>
      <c r="M12" s="140"/>
    </row>
    <row r="13" spans="1:13" ht="12.75" customHeight="1">
      <c r="A13" s="520"/>
      <c r="B13" s="133" t="s">
        <v>252</v>
      </c>
      <c r="C13" s="134" t="s">
        <v>52</v>
      </c>
      <c r="D13" s="135"/>
      <c r="E13" s="136"/>
      <c r="F13" s="137">
        <f t="shared" si="0"/>
        <v>37</v>
      </c>
      <c r="G13" s="138">
        <f>SUM(G14:G17)</f>
        <v>0</v>
      </c>
      <c r="H13" s="138">
        <f>SUM(H14:H17)</f>
        <v>37</v>
      </c>
      <c r="I13" s="138">
        <f>SUM(I14:I17)</f>
        <v>0</v>
      </c>
      <c r="J13" s="138">
        <f>SUM(J14:J17)</f>
        <v>0</v>
      </c>
      <c r="K13" s="139">
        <v>0</v>
      </c>
      <c r="L13" s="31"/>
      <c r="M13" s="140"/>
    </row>
    <row r="14" spans="1:13" ht="12.75" customHeight="1">
      <c r="A14" s="520"/>
      <c r="B14" s="141"/>
      <c r="C14" s="142" t="s">
        <v>79</v>
      </c>
      <c r="D14" s="143"/>
      <c r="E14" s="198" t="s">
        <v>102</v>
      </c>
      <c r="F14" s="224">
        <f t="shared" si="0"/>
        <v>7</v>
      </c>
      <c r="G14" s="30">
        <v>0</v>
      </c>
      <c r="H14" s="420">
        <v>7</v>
      </c>
      <c r="I14" s="30">
        <v>0</v>
      </c>
      <c r="J14" s="30">
        <v>0</v>
      </c>
      <c r="K14" s="31">
        <v>0</v>
      </c>
      <c r="L14" s="31"/>
      <c r="M14" s="140"/>
    </row>
    <row r="15" spans="1:13" ht="25.5" customHeight="1">
      <c r="A15" s="520"/>
      <c r="B15" s="141"/>
      <c r="C15" s="142" t="s">
        <v>78</v>
      </c>
      <c r="D15" s="143"/>
      <c r="E15" s="198" t="s">
        <v>103</v>
      </c>
      <c r="F15" s="224">
        <f t="shared" si="0"/>
        <v>12</v>
      </c>
      <c r="G15" s="30">
        <v>0</v>
      </c>
      <c r="H15" s="226">
        <v>12</v>
      </c>
      <c r="I15" s="30">
        <v>0</v>
      </c>
      <c r="J15" s="30">
        <v>0</v>
      </c>
      <c r="K15" s="31">
        <v>0</v>
      </c>
      <c r="L15" s="31"/>
      <c r="M15" s="140"/>
    </row>
    <row r="16" spans="1:13" ht="12.75" customHeight="1">
      <c r="A16" s="520"/>
      <c r="B16" s="141"/>
      <c r="C16" s="142" t="s">
        <v>77</v>
      </c>
      <c r="D16" s="143"/>
      <c r="E16" s="198" t="s">
        <v>102</v>
      </c>
      <c r="F16" s="224">
        <f t="shared" si="0"/>
        <v>10</v>
      </c>
      <c r="G16" s="30">
        <v>0</v>
      </c>
      <c r="H16" s="226">
        <v>10</v>
      </c>
      <c r="I16" s="30">
        <v>0</v>
      </c>
      <c r="J16" s="30">
        <v>0</v>
      </c>
      <c r="K16" s="31">
        <v>0</v>
      </c>
      <c r="L16" s="31"/>
      <c r="M16" s="140"/>
    </row>
    <row r="17" spans="1:13" ht="12.75" customHeight="1">
      <c r="A17" s="520"/>
      <c r="B17" s="141"/>
      <c r="C17" s="142" t="s">
        <v>76</v>
      </c>
      <c r="D17" s="143"/>
      <c r="E17" s="198" t="s">
        <v>104</v>
      </c>
      <c r="F17" s="224">
        <f t="shared" si="0"/>
        <v>8</v>
      </c>
      <c r="G17" s="30">
        <v>0</v>
      </c>
      <c r="H17" s="417">
        <v>8</v>
      </c>
      <c r="I17" s="30">
        <v>0</v>
      </c>
      <c r="J17" s="30">
        <v>0</v>
      </c>
      <c r="K17" s="31">
        <v>0</v>
      </c>
      <c r="L17" s="31"/>
      <c r="M17" s="140"/>
    </row>
    <row r="18" spans="1:253" s="109" customFormat="1" ht="12.75" customHeight="1">
      <c r="A18" s="520"/>
      <c r="B18" s="133" t="s">
        <v>253</v>
      </c>
      <c r="C18" s="134" t="s">
        <v>53</v>
      </c>
      <c r="D18" s="135"/>
      <c r="E18" s="196" t="s">
        <v>105</v>
      </c>
      <c r="F18" s="137">
        <f t="shared" si="0"/>
        <v>14</v>
      </c>
      <c r="G18" s="138">
        <v>0</v>
      </c>
      <c r="H18" s="138">
        <v>0</v>
      </c>
      <c r="I18" s="138">
        <v>0</v>
      </c>
      <c r="J18" s="201">
        <v>14</v>
      </c>
      <c r="K18" s="139">
        <v>0</v>
      </c>
      <c r="L18" s="31"/>
      <c r="M18" s="140"/>
      <c r="N18" s="202" t="s">
        <v>188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ht="12.75" customHeight="1">
      <c r="A19" s="520"/>
      <c r="B19" s="133" t="s">
        <v>254</v>
      </c>
      <c r="C19" s="144" t="s">
        <v>44</v>
      </c>
      <c r="D19" s="145"/>
      <c r="E19" s="146"/>
      <c r="F19" s="147">
        <f>F20+F21</f>
        <v>4</v>
      </c>
      <c r="G19" s="147">
        <f>G20+G21</f>
        <v>0</v>
      </c>
      <c r="H19" s="147">
        <f>SUM(H20:H21)</f>
        <v>4</v>
      </c>
      <c r="I19" s="147">
        <f>I20+I21</f>
        <v>0</v>
      </c>
      <c r="J19" s="147">
        <v>0</v>
      </c>
      <c r="K19" s="148">
        <v>0</v>
      </c>
      <c r="L19" s="31"/>
      <c r="M19" s="149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</row>
    <row r="20" spans="1:13" ht="12.75" customHeight="1">
      <c r="A20" s="520"/>
      <c r="B20" s="141"/>
      <c r="C20" s="29" t="s">
        <v>106</v>
      </c>
      <c r="D20" s="136"/>
      <c r="E20" s="196" t="s">
        <v>107</v>
      </c>
      <c r="F20" s="224">
        <f>SUM(G20:J20)</f>
        <v>2</v>
      </c>
      <c r="G20" s="30">
        <v>0</v>
      </c>
      <c r="H20" s="222">
        <v>2</v>
      </c>
      <c r="I20" s="30">
        <v>0</v>
      </c>
      <c r="J20" s="30">
        <v>0</v>
      </c>
      <c r="K20" s="32">
        <v>0</v>
      </c>
      <c r="L20" s="32"/>
      <c r="M20" s="33"/>
    </row>
    <row r="21" spans="1:13" ht="12.75" customHeight="1">
      <c r="A21" s="520"/>
      <c r="B21" s="141"/>
      <c r="C21" s="29" t="s">
        <v>108</v>
      </c>
      <c r="D21" s="136"/>
      <c r="E21" s="196" t="s">
        <v>109</v>
      </c>
      <c r="F21" s="224">
        <f>SUM(G21:J21)</f>
        <v>2</v>
      </c>
      <c r="G21" s="30">
        <v>0</v>
      </c>
      <c r="H21" s="383">
        <v>2</v>
      </c>
      <c r="I21" s="30">
        <v>0</v>
      </c>
      <c r="J21" s="30">
        <v>0</v>
      </c>
      <c r="K21" s="32">
        <v>0</v>
      </c>
      <c r="L21" s="32"/>
      <c r="M21" s="33"/>
    </row>
    <row r="22" spans="1:13" ht="12.75" customHeight="1">
      <c r="A22" s="520"/>
      <c r="B22" s="245" t="s">
        <v>255</v>
      </c>
      <c r="C22" s="244" t="s">
        <v>241</v>
      </c>
      <c r="D22" s="246"/>
      <c r="E22" s="246"/>
      <c r="F22" s="246"/>
      <c r="G22" s="246"/>
      <c r="H22" s="246"/>
      <c r="I22" s="246"/>
      <c r="J22" s="247"/>
      <c r="K22" s="248"/>
      <c r="L22" s="32"/>
      <c r="M22" s="33"/>
    </row>
    <row r="23" spans="1:253" ht="25.5">
      <c r="A23" s="520"/>
      <c r="B23" s="151" t="s">
        <v>226</v>
      </c>
      <c r="C23" s="152" t="s">
        <v>9</v>
      </c>
      <c r="D23" s="153" t="s">
        <v>110</v>
      </c>
      <c r="E23" s="314"/>
      <c r="F23" s="154">
        <f aca="true" t="shared" si="1" ref="F23:K23">F24+F27+F28+F29+F30+F37+F42</f>
        <v>103</v>
      </c>
      <c r="G23" s="154">
        <f t="shared" si="1"/>
        <v>0</v>
      </c>
      <c r="H23" s="154">
        <f t="shared" si="1"/>
        <v>81</v>
      </c>
      <c r="I23" s="154">
        <f t="shared" si="1"/>
        <v>0</v>
      </c>
      <c r="J23" s="154">
        <f t="shared" si="1"/>
        <v>15</v>
      </c>
      <c r="K23" s="154">
        <f t="shared" si="1"/>
        <v>7</v>
      </c>
      <c r="L23" s="154">
        <v>6</v>
      </c>
      <c r="M23" s="155" t="s">
        <v>6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</row>
    <row r="24" spans="1:13" ht="12.75" customHeight="1">
      <c r="A24" s="520"/>
      <c r="B24" s="133" t="s">
        <v>256</v>
      </c>
      <c r="C24" s="134" t="s">
        <v>11</v>
      </c>
      <c r="D24" s="135"/>
      <c r="E24" s="136"/>
      <c r="F24" s="137">
        <f aca="true" t="shared" si="2" ref="F24:K24">SUM(F25:F26)</f>
        <v>5</v>
      </c>
      <c r="G24" s="137">
        <f t="shared" si="2"/>
        <v>0</v>
      </c>
      <c r="H24" s="137">
        <f t="shared" si="2"/>
        <v>5</v>
      </c>
      <c r="I24" s="137">
        <f t="shared" si="2"/>
        <v>0</v>
      </c>
      <c r="J24" s="137">
        <f t="shared" si="2"/>
        <v>0</v>
      </c>
      <c r="K24" s="156">
        <f t="shared" si="2"/>
        <v>0</v>
      </c>
      <c r="L24" s="31"/>
      <c r="M24" s="140"/>
    </row>
    <row r="25" spans="1:253" s="108" customFormat="1" ht="12.75" customHeight="1">
      <c r="A25" s="520"/>
      <c r="B25" s="141"/>
      <c r="C25" s="29" t="s">
        <v>111</v>
      </c>
      <c r="D25" s="136"/>
      <c r="E25" s="196" t="s">
        <v>112</v>
      </c>
      <c r="F25" s="224">
        <f>SUM(G25:K25)</f>
        <v>4</v>
      </c>
      <c r="G25" s="30">
        <v>0</v>
      </c>
      <c r="H25" s="226">
        <v>4</v>
      </c>
      <c r="I25" s="30">
        <v>0</v>
      </c>
      <c r="J25" s="30">
        <v>0</v>
      </c>
      <c r="K25" s="31">
        <v>0</v>
      </c>
      <c r="L25" s="31"/>
      <c r="M25" s="14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13" ht="12.75" customHeight="1">
      <c r="A26" s="520"/>
      <c r="B26" s="141"/>
      <c r="C26" s="29" t="s">
        <v>113</v>
      </c>
      <c r="D26" s="136"/>
      <c r="E26" s="196" t="s">
        <v>114</v>
      </c>
      <c r="F26" s="224">
        <f>SUM(G26:K26)</f>
        <v>1</v>
      </c>
      <c r="G26" s="30">
        <v>0</v>
      </c>
      <c r="H26" s="226">
        <v>1</v>
      </c>
      <c r="I26" s="30">
        <v>0</v>
      </c>
      <c r="J26" s="30">
        <v>0</v>
      </c>
      <c r="K26" s="31">
        <v>0</v>
      </c>
      <c r="L26" s="31"/>
      <c r="M26" s="140"/>
    </row>
    <row r="27" spans="1:13" ht="12.75" customHeight="1">
      <c r="A27" s="520"/>
      <c r="B27" s="133" t="s">
        <v>257</v>
      </c>
      <c r="C27" s="134" t="s">
        <v>10</v>
      </c>
      <c r="D27" s="135"/>
      <c r="E27" s="196" t="s">
        <v>115</v>
      </c>
      <c r="F27" s="137">
        <f>SUM(G27:K27)</f>
        <v>5</v>
      </c>
      <c r="G27" s="138">
        <v>0</v>
      </c>
      <c r="H27" s="213">
        <v>5</v>
      </c>
      <c r="I27" s="138">
        <v>0</v>
      </c>
      <c r="J27" s="138">
        <v>0</v>
      </c>
      <c r="K27" s="139">
        <v>0</v>
      </c>
      <c r="L27" s="31"/>
      <c r="M27" s="140"/>
    </row>
    <row r="28" spans="1:13" ht="12.75" customHeight="1">
      <c r="A28" s="520"/>
      <c r="B28" s="133" t="s">
        <v>258</v>
      </c>
      <c r="C28" s="134" t="s">
        <v>87</v>
      </c>
      <c r="D28" s="135"/>
      <c r="E28" s="196" t="s">
        <v>116</v>
      </c>
      <c r="F28" s="137">
        <f>SUM(G28:K28)</f>
        <v>29</v>
      </c>
      <c r="G28" s="138">
        <v>0</v>
      </c>
      <c r="H28" s="213">
        <v>22</v>
      </c>
      <c r="I28" s="138">
        <v>0</v>
      </c>
      <c r="J28" s="138">
        <v>0</v>
      </c>
      <c r="K28" s="195">
        <v>7</v>
      </c>
      <c r="L28" s="31"/>
      <c r="M28" s="140"/>
    </row>
    <row r="29" spans="1:253" ht="25.5">
      <c r="A29" s="520"/>
      <c r="B29" s="157" t="s">
        <v>259</v>
      </c>
      <c r="C29" s="158" t="s">
        <v>54</v>
      </c>
      <c r="D29" s="159"/>
      <c r="E29" s="197" t="s">
        <v>388</v>
      </c>
      <c r="F29" s="147">
        <f>SUM(G29:J29)</f>
        <v>10</v>
      </c>
      <c r="G29" s="138">
        <v>0</v>
      </c>
      <c r="H29" s="213">
        <v>10</v>
      </c>
      <c r="I29" s="138">
        <v>0</v>
      </c>
      <c r="J29" s="138">
        <v>0</v>
      </c>
      <c r="K29" s="139">
        <v>0</v>
      </c>
      <c r="L29" s="31"/>
      <c r="M29" s="14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13" ht="12.75" customHeight="1">
      <c r="A30" s="520"/>
      <c r="B30" s="133" t="s">
        <v>260</v>
      </c>
      <c r="C30" s="134" t="s">
        <v>86</v>
      </c>
      <c r="D30" s="135"/>
      <c r="E30" s="136"/>
      <c r="F30" s="137">
        <f aca="true" t="shared" si="3" ref="F30:F36">SUM(G30:K30)</f>
        <v>35</v>
      </c>
      <c r="G30" s="137">
        <f>SUM(G31:G36)</f>
        <v>0</v>
      </c>
      <c r="H30" s="137">
        <f>SUM(H31:H36)</f>
        <v>20</v>
      </c>
      <c r="I30" s="137">
        <f>SUM(I31:I36)</f>
        <v>0</v>
      </c>
      <c r="J30" s="137">
        <f>SUM(J31:J36)</f>
        <v>15</v>
      </c>
      <c r="K30" s="156">
        <f>SUM(K31:K36)</f>
        <v>0</v>
      </c>
      <c r="L30" s="31"/>
      <c r="M30" s="140"/>
    </row>
    <row r="31" spans="1:15" ht="12.75" customHeight="1">
      <c r="A31" s="520"/>
      <c r="B31" s="141"/>
      <c r="C31" s="37" t="s">
        <v>68</v>
      </c>
      <c r="D31" s="160"/>
      <c r="E31" s="198" t="s">
        <v>114</v>
      </c>
      <c r="F31" s="224">
        <f t="shared" si="3"/>
        <v>18</v>
      </c>
      <c r="G31" s="30">
        <v>0</v>
      </c>
      <c r="H31" s="226">
        <v>3</v>
      </c>
      <c r="I31" s="30">
        <v>0</v>
      </c>
      <c r="J31" s="521">
        <v>15</v>
      </c>
      <c r="K31" s="31">
        <v>0</v>
      </c>
      <c r="L31" s="31"/>
      <c r="M31" s="140"/>
      <c r="N31" s="530" t="s">
        <v>236</v>
      </c>
      <c r="O31" s="73"/>
    </row>
    <row r="32" spans="1:15" ht="12.75" customHeight="1">
      <c r="A32" s="520"/>
      <c r="B32" s="141"/>
      <c r="C32" s="37" t="s">
        <v>67</v>
      </c>
      <c r="D32" s="160"/>
      <c r="E32" s="198" t="s">
        <v>117</v>
      </c>
      <c r="F32" s="224">
        <f t="shared" si="3"/>
        <v>5</v>
      </c>
      <c r="G32" s="30">
        <v>0</v>
      </c>
      <c r="H32" s="257">
        <v>5</v>
      </c>
      <c r="I32" s="30">
        <v>0</v>
      </c>
      <c r="J32" s="521"/>
      <c r="K32" s="31">
        <v>0</v>
      </c>
      <c r="L32" s="31"/>
      <c r="M32" s="140"/>
      <c r="N32" s="530"/>
      <c r="O32" s="73"/>
    </row>
    <row r="33" spans="1:15" ht="12.75" customHeight="1">
      <c r="A33" s="520"/>
      <c r="B33" s="141"/>
      <c r="C33" s="37" t="s">
        <v>66</v>
      </c>
      <c r="D33" s="160"/>
      <c r="E33" s="198" t="s">
        <v>112</v>
      </c>
      <c r="F33" s="224">
        <f t="shared" si="3"/>
        <v>6</v>
      </c>
      <c r="G33" s="30">
        <v>0</v>
      </c>
      <c r="H33" s="226">
        <v>6</v>
      </c>
      <c r="I33" s="30">
        <v>0</v>
      </c>
      <c r="J33" s="521"/>
      <c r="K33" s="31">
        <v>0</v>
      </c>
      <c r="L33" s="31"/>
      <c r="M33" s="140"/>
      <c r="N33" s="530"/>
      <c r="O33" s="73"/>
    </row>
    <row r="34" spans="1:13" ht="12.75" customHeight="1">
      <c r="A34" s="520"/>
      <c r="B34" s="141"/>
      <c r="C34" s="37" t="s">
        <v>65</v>
      </c>
      <c r="D34" s="160"/>
      <c r="E34" s="198" t="s">
        <v>114</v>
      </c>
      <c r="F34" s="224">
        <f t="shared" si="3"/>
        <v>2</v>
      </c>
      <c r="G34" s="30">
        <v>0</v>
      </c>
      <c r="H34" s="226">
        <v>2</v>
      </c>
      <c r="I34" s="30">
        <v>0</v>
      </c>
      <c r="J34" s="30">
        <v>0</v>
      </c>
      <c r="K34" s="31">
        <v>0</v>
      </c>
      <c r="L34" s="31"/>
      <c r="M34" s="140"/>
    </row>
    <row r="35" spans="1:13" ht="12.75" customHeight="1">
      <c r="A35" s="520"/>
      <c r="B35" s="141"/>
      <c r="C35" s="37" t="s">
        <v>80</v>
      </c>
      <c r="D35" s="160"/>
      <c r="E35" s="198" t="s">
        <v>114</v>
      </c>
      <c r="F35" s="224">
        <f t="shared" si="3"/>
        <v>2</v>
      </c>
      <c r="G35" s="30">
        <v>0</v>
      </c>
      <c r="H35" s="226">
        <v>2</v>
      </c>
      <c r="I35" s="30">
        <v>0</v>
      </c>
      <c r="J35" s="30">
        <v>0</v>
      </c>
      <c r="K35" s="31">
        <v>0</v>
      </c>
      <c r="L35" s="31"/>
      <c r="M35" s="140"/>
    </row>
    <row r="36" spans="1:13" ht="12.75" customHeight="1">
      <c r="A36" s="520"/>
      <c r="B36" s="141"/>
      <c r="C36" s="37" t="s">
        <v>64</v>
      </c>
      <c r="D36" s="160"/>
      <c r="E36" s="198" t="s">
        <v>118</v>
      </c>
      <c r="F36" s="224">
        <f t="shared" si="3"/>
        <v>2</v>
      </c>
      <c r="G36" s="30">
        <v>0</v>
      </c>
      <c r="H36" s="227">
        <v>2</v>
      </c>
      <c r="I36" s="30">
        <v>0</v>
      </c>
      <c r="J36" s="30">
        <v>0</v>
      </c>
      <c r="K36" s="31">
        <v>0</v>
      </c>
      <c r="L36" s="31"/>
      <c r="M36" s="140"/>
    </row>
    <row r="37" spans="1:253" ht="12.75" customHeight="1">
      <c r="A37" s="520"/>
      <c r="B37" s="133" t="s">
        <v>261</v>
      </c>
      <c r="C37" s="134" t="s">
        <v>93</v>
      </c>
      <c r="D37" s="135"/>
      <c r="E37" s="136"/>
      <c r="F37" s="137">
        <f>SUM(G37:J37)</f>
        <v>15</v>
      </c>
      <c r="G37" s="138">
        <v>0</v>
      </c>
      <c r="H37" s="195">
        <v>15</v>
      </c>
      <c r="I37" s="138">
        <v>0</v>
      </c>
      <c r="J37" s="138">
        <v>0</v>
      </c>
      <c r="K37" s="139">
        <v>0</v>
      </c>
      <c r="L37" s="31"/>
      <c r="M37" s="161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</row>
    <row r="38" spans="1:13" ht="12.75" customHeight="1">
      <c r="A38" s="520"/>
      <c r="B38" s="141"/>
      <c r="C38" s="29" t="s">
        <v>340</v>
      </c>
      <c r="D38" s="160"/>
      <c r="E38" s="522" t="s">
        <v>119</v>
      </c>
      <c r="F38" s="525" t="s">
        <v>120</v>
      </c>
      <c r="G38" s="525"/>
      <c r="H38" s="525"/>
      <c r="I38" s="525"/>
      <c r="J38" s="525"/>
      <c r="K38" s="32">
        <v>0</v>
      </c>
      <c r="L38" s="32"/>
      <c r="M38" s="33"/>
    </row>
    <row r="39" spans="1:13" ht="12.75" customHeight="1">
      <c r="A39" s="520"/>
      <c r="B39" s="141"/>
      <c r="C39" s="29" t="s">
        <v>121</v>
      </c>
      <c r="D39" s="160"/>
      <c r="E39" s="523"/>
      <c r="F39" s="525" t="s">
        <v>122</v>
      </c>
      <c r="G39" s="525"/>
      <c r="H39" s="525"/>
      <c r="I39" s="525"/>
      <c r="J39" s="525"/>
      <c r="K39" s="32">
        <v>0</v>
      </c>
      <c r="L39" s="32"/>
      <c r="M39" s="33"/>
    </row>
    <row r="40" spans="1:13" ht="12.75" customHeight="1">
      <c r="A40" s="520"/>
      <c r="B40" s="141"/>
      <c r="C40" s="29" t="s">
        <v>123</v>
      </c>
      <c r="D40" s="160"/>
      <c r="E40" s="523"/>
      <c r="F40" s="525" t="s">
        <v>120</v>
      </c>
      <c r="G40" s="525"/>
      <c r="H40" s="525"/>
      <c r="I40" s="525"/>
      <c r="J40" s="525"/>
      <c r="K40" s="32">
        <v>0</v>
      </c>
      <c r="L40" s="32"/>
      <c r="M40" s="33"/>
    </row>
    <row r="41" spans="1:13" ht="12.75" customHeight="1">
      <c r="A41" s="520"/>
      <c r="B41" s="141"/>
      <c r="C41" s="29" t="s">
        <v>90</v>
      </c>
      <c r="D41" s="160"/>
      <c r="E41" s="524"/>
      <c r="F41" s="525" t="s">
        <v>122</v>
      </c>
      <c r="G41" s="525"/>
      <c r="H41" s="525"/>
      <c r="I41" s="525"/>
      <c r="J41" s="525"/>
      <c r="K41" s="32">
        <v>0</v>
      </c>
      <c r="L41" s="32"/>
      <c r="M41" s="33"/>
    </row>
    <row r="42" spans="1:253" ht="14.25" customHeight="1">
      <c r="A42" s="520"/>
      <c r="B42" s="133" t="s">
        <v>262</v>
      </c>
      <c r="C42" s="144" t="s">
        <v>44</v>
      </c>
      <c r="D42" s="145"/>
      <c r="E42" s="146"/>
      <c r="F42" s="147">
        <f>SUM(F43:F44)</f>
        <v>4</v>
      </c>
      <c r="G42" s="147">
        <f>SUM(G43:G44)</f>
        <v>0</v>
      </c>
      <c r="H42" s="147">
        <f>SUM(H43:H44)</f>
        <v>4</v>
      </c>
      <c r="I42" s="147">
        <f>SUM(I43:I44)</f>
        <v>0</v>
      </c>
      <c r="J42" s="147">
        <f>SUM(J43:J44)</f>
        <v>0</v>
      </c>
      <c r="K42" s="148">
        <v>0</v>
      </c>
      <c r="L42" s="31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</row>
    <row r="43" spans="1:13" ht="12.75" customHeight="1">
      <c r="A43" s="520"/>
      <c r="B43" s="141"/>
      <c r="C43" s="29" t="s">
        <v>124</v>
      </c>
      <c r="D43" s="136"/>
      <c r="E43" s="196" t="s">
        <v>384</v>
      </c>
      <c r="F43" s="224">
        <f>SUM(G43:J43)</f>
        <v>2</v>
      </c>
      <c r="G43" s="30">
        <v>0</v>
      </c>
      <c r="H43" s="376">
        <v>2</v>
      </c>
      <c r="I43" s="30">
        <v>0</v>
      </c>
      <c r="J43" s="30">
        <v>0</v>
      </c>
      <c r="K43" s="32">
        <v>0</v>
      </c>
      <c r="L43" s="32"/>
      <c r="M43" s="33"/>
    </row>
    <row r="44" spans="1:13" ht="12.75" customHeight="1">
      <c r="A44" s="520"/>
      <c r="B44" s="141"/>
      <c r="C44" s="29" t="s">
        <v>89</v>
      </c>
      <c r="D44" s="136"/>
      <c r="E44" s="196" t="s">
        <v>384</v>
      </c>
      <c r="F44" s="224">
        <f>SUM(G44:J44)</f>
        <v>2</v>
      </c>
      <c r="G44" s="30">
        <v>0</v>
      </c>
      <c r="H44" s="376">
        <v>2</v>
      </c>
      <c r="I44" s="30">
        <v>0</v>
      </c>
      <c r="J44" s="30">
        <v>0</v>
      </c>
      <c r="K44" s="32">
        <v>0</v>
      </c>
      <c r="L44" s="32"/>
      <c r="M44" s="33"/>
    </row>
    <row r="45" spans="1:13" ht="12.75" customHeight="1">
      <c r="A45" s="520"/>
      <c r="B45" s="245" t="s">
        <v>263</v>
      </c>
      <c r="C45" s="249" t="s">
        <v>239</v>
      </c>
      <c r="D45" s="246"/>
      <c r="E45" s="246"/>
      <c r="F45" s="250"/>
      <c r="G45" s="247"/>
      <c r="H45" s="247"/>
      <c r="I45" s="247"/>
      <c r="J45" s="247"/>
      <c r="K45" s="248"/>
      <c r="L45" s="32"/>
      <c r="M45" s="33"/>
    </row>
    <row r="46" spans="1:13" ht="12.75" customHeight="1">
      <c r="A46" s="520"/>
      <c r="B46" s="245" t="s">
        <v>264</v>
      </c>
      <c r="C46" s="249" t="s">
        <v>240</v>
      </c>
      <c r="D46" s="246"/>
      <c r="E46" s="246"/>
      <c r="F46" s="250"/>
      <c r="G46" s="247"/>
      <c r="H46" s="247"/>
      <c r="I46" s="247"/>
      <c r="J46" s="247"/>
      <c r="K46" s="248"/>
      <c r="L46" s="32"/>
      <c r="M46" s="33"/>
    </row>
    <row r="47" spans="1:253" ht="15">
      <c r="A47" s="520"/>
      <c r="B47" s="151" t="s">
        <v>227</v>
      </c>
      <c r="C47" s="152" t="s">
        <v>55</v>
      </c>
      <c r="D47" s="153" t="s">
        <v>98</v>
      </c>
      <c r="E47" s="314"/>
      <c r="F47" s="154">
        <f>SUM(G47:K47)</f>
        <v>167</v>
      </c>
      <c r="G47" s="154">
        <f>G48+G49+G50+G56</f>
        <v>0</v>
      </c>
      <c r="H47" s="154">
        <f>H48+H49+H50+H56+H65</f>
        <v>96</v>
      </c>
      <c r="I47" s="154">
        <f>I48+I49+I50+I56</f>
        <v>0</v>
      </c>
      <c r="J47" s="154">
        <f>J48+J49+J50+J56</f>
        <v>54</v>
      </c>
      <c r="K47" s="154">
        <f>K48+K49+K50+K56</f>
        <v>17</v>
      </c>
      <c r="L47" s="162">
        <v>12</v>
      </c>
      <c r="M47" s="155" t="s">
        <v>6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</row>
    <row r="48" spans="1:13" ht="25.5">
      <c r="A48" s="520"/>
      <c r="B48" s="133" t="s">
        <v>265</v>
      </c>
      <c r="C48" s="134" t="s">
        <v>92</v>
      </c>
      <c r="D48" s="135"/>
      <c r="E48" s="196" t="s">
        <v>125</v>
      </c>
      <c r="F48" s="137">
        <f>SUM(G48:K48)</f>
        <v>20</v>
      </c>
      <c r="G48" s="138">
        <v>0</v>
      </c>
      <c r="H48" s="213">
        <v>8</v>
      </c>
      <c r="I48" s="138">
        <v>0</v>
      </c>
      <c r="J48" s="138">
        <v>0</v>
      </c>
      <c r="K48" s="195">
        <v>12</v>
      </c>
      <c r="L48" s="35"/>
      <c r="M48" s="36"/>
    </row>
    <row r="49" spans="1:13" ht="12.75" customHeight="1">
      <c r="A49" s="520"/>
      <c r="B49" s="133" t="s">
        <v>266</v>
      </c>
      <c r="C49" s="134" t="s">
        <v>13</v>
      </c>
      <c r="D49" s="135"/>
      <c r="E49" s="196" t="s">
        <v>126</v>
      </c>
      <c r="F49" s="137">
        <f aca="true" t="shared" si="4" ref="F49:F64">SUM(G49:K49)</f>
        <v>14</v>
      </c>
      <c r="G49" s="138">
        <v>0</v>
      </c>
      <c r="H49" s="213">
        <v>14</v>
      </c>
      <c r="I49" s="138">
        <v>0</v>
      </c>
      <c r="J49" s="138">
        <v>0</v>
      </c>
      <c r="K49" s="139">
        <v>0</v>
      </c>
      <c r="L49" s="35"/>
      <c r="M49" s="36"/>
    </row>
    <row r="50" spans="1:13" ht="12.75" customHeight="1">
      <c r="A50" s="520"/>
      <c r="B50" s="133" t="s">
        <v>267</v>
      </c>
      <c r="C50" s="134" t="s">
        <v>43</v>
      </c>
      <c r="D50" s="135"/>
      <c r="E50" s="136"/>
      <c r="F50" s="137">
        <f>SUM(G50:K50)</f>
        <v>55</v>
      </c>
      <c r="G50" s="137">
        <f>SUM(G51:G55)</f>
        <v>0</v>
      </c>
      <c r="H50" s="137">
        <f>SUM(H51:H55)</f>
        <v>28</v>
      </c>
      <c r="I50" s="137">
        <f>SUM(I51:I55)</f>
        <v>0</v>
      </c>
      <c r="J50" s="137">
        <f>SUM(J51:J55)</f>
        <v>27</v>
      </c>
      <c r="K50" s="156">
        <f>SUM(K51:K55)</f>
        <v>0</v>
      </c>
      <c r="L50" s="35"/>
      <c r="M50" s="36"/>
    </row>
    <row r="51" spans="1:13" ht="12.75" customHeight="1">
      <c r="A51" s="520"/>
      <c r="B51" s="141"/>
      <c r="C51" s="29" t="s">
        <v>127</v>
      </c>
      <c r="D51" s="136"/>
      <c r="E51" s="196" t="s">
        <v>128</v>
      </c>
      <c r="F51" s="224">
        <f t="shared" si="4"/>
        <v>36</v>
      </c>
      <c r="G51" s="30">
        <v>0</v>
      </c>
      <c r="H51" s="226">
        <v>12</v>
      </c>
      <c r="I51" s="30">
        <v>0</v>
      </c>
      <c r="J51" s="226">
        <v>24</v>
      </c>
      <c r="K51" s="31">
        <v>0</v>
      </c>
      <c r="L51" s="35"/>
      <c r="M51" s="36"/>
    </row>
    <row r="52" spans="1:13" ht="12.75" customHeight="1">
      <c r="A52" s="520"/>
      <c r="B52" s="141"/>
      <c r="C52" s="29" t="s">
        <v>129</v>
      </c>
      <c r="D52" s="136"/>
      <c r="E52" s="196" t="s">
        <v>115</v>
      </c>
      <c r="F52" s="224">
        <f t="shared" si="4"/>
        <v>4</v>
      </c>
      <c r="G52" s="30">
        <v>0</v>
      </c>
      <c r="H52" s="304">
        <v>4</v>
      </c>
      <c r="I52" s="30">
        <v>0</v>
      </c>
      <c r="J52" s="30">
        <v>0</v>
      </c>
      <c r="K52" s="31">
        <v>0</v>
      </c>
      <c r="L52" s="35"/>
      <c r="M52" s="36"/>
    </row>
    <row r="53" spans="1:13" ht="12.75" customHeight="1">
      <c r="A53" s="520"/>
      <c r="B53" s="141"/>
      <c r="C53" s="29" t="s">
        <v>130</v>
      </c>
      <c r="D53" s="136"/>
      <c r="E53" s="196" t="s">
        <v>131</v>
      </c>
      <c r="F53" s="224">
        <f t="shared" si="4"/>
        <v>7</v>
      </c>
      <c r="G53" s="30">
        <v>0</v>
      </c>
      <c r="H53" s="370">
        <v>4</v>
      </c>
      <c r="I53" s="30">
        <v>0</v>
      </c>
      <c r="J53" s="260">
        <v>3</v>
      </c>
      <c r="K53" s="31">
        <v>0</v>
      </c>
      <c r="L53" s="35"/>
      <c r="M53" s="36"/>
    </row>
    <row r="54" spans="1:13" ht="12.75" customHeight="1">
      <c r="A54" s="520"/>
      <c r="B54" s="141"/>
      <c r="C54" s="29" t="s">
        <v>132</v>
      </c>
      <c r="D54" s="136"/>
      <c r="E54" s="196" t="s">
        <v>126</v>
      </c>
      <c r="F54" s="224">
        <f t="shared" si="4"/>
        <v>4</v>
      </c>
      <c r="G54" s="30">
        <v>0</v>
      </c>
      <c r="H54" s="223">
        <v>4</v>
      </c>
      <c r="I54" s="30">
        <v>0</v>
      </c>
      <c r="J54" s="30">
        <v>0</v>
      </c>
      <c r="K54" s="31">
        <v>0</v>
      </c>
      <c r="L54" s="35"/>
      <c r="M54" s="36"/>
    </row>
    <row r="55" spans="1:13" ht="12.75" customHeight="1">
      <c r="A55" s="520"/>
      <c r="B55" s="141"/>
      <c r="C55" s="29" t="s">
        <v>423</v>
      </c>
      <c r="D55" s="136"/>
      <c r="E55" s="196" t="s">
        <v>114</v>
      </c>
      <c r="F55" s="224">
        <f t="shared" si="4"/>
        <v>4</v>
      </c>
      <c r="G55" s="30">
        <v>0</v>
      </c>
      <c r="H55" s="226">
        <v>4</v>
      </c>
      <c r="I55" s="30">
        <v>0</v>
      </c>
      <c r="J55" s="30">
        <v>0</v>
      </c>
      <c r="K55" s="31">
        <v>0</v>
      </c>
      <c r="L55" s="35"/>
      <c r="M55" s="36"/>
    </row>
    <row r="56" spans="1:13" ht="12.75" customHeight="1">
      <c r="A56" s="520"/>
      <c r="B56" s="133" t="s">
        <v>268</v>
      </c>
      <c r="C56" s="134" t="s">
        <v>12</v>
      </c>
      <c r="D56" s="135"/>
      <c r="E56" s="136"/>
      <c r="F56" s="137">
        <f>SUM(G56:K56)</f>
        <v>72</v>
      </c>
      <c r="G56" s="137">
        <f>SUM(G57:G64)</f>
        <v>0</v>
      </c>
      <c r="H56" s="137">
        <f>SUM(H57:H64)</f>
        <v>40</v>
      </c>
      <c r="I56" s="137">
        <f>SUM(I57:I64)</f>
        <v>0</v>
      </c>
      <c r="J56" s="137">
        <f>SUM(J57:J64)</f>
        <v>27</v>
      </c>
      <c r="K56" s="156">
        <f>SUM(K57:K64)</f>
        <v>5</v>
      </c>
      <c r="L56" s="35"/>
      <c r="M56" s="36"/>
    </row>
    <row r="57" spans="1:13" ht="12.75" customHeight="1">
      <c r="A57" s="520"/>
      <c r="B57" s="141"/>
      <c r="C57" s="29" t="s">
        <v>70</v>
      </c>
      <c r="D57" s="136"/>
      <c r="E57" s="196" t="s">
        <v>119</v>
      </c>
      <c r="F57" s="224">
        <f>G57+H57+I57+$J$57/3+K57</f>
        <v>18</v>
      </c>
      <c r="G57" s="30">
        <v>0</v>
      </c>
      <c r="H57" s="226">
        <v>7</v>
      </c>
      <c r="I57" s="30">
        <v>0</v>
      </c>
      <c r="J57" s="531">
        <v>27</v>
      </c>
      <c r="K57" s="225">
        <v>2</v>
      </c>
      <c r="L57" s="35"/>
      <c r="M57" s="36"/>
    </row>
    <row r="58" spans="1:13" ht="12.75" customHeight="1">
      <c r="A58" s="520"/>
      <c r="B58" s="141"/>
      <c r="C58" s="29" t="s">
        <v>69</v>
      </c>
      <c r="D58" s="136"/>
      <c r="E58" s="196" t="s">
        <v>119</v>
      </c>
      <c r="F58" s="224">
        <f>G58+H58+I58+$J$57/3+K58</f>
        <v>23</v>
      </c>
      <c r="G58" s="30">
        <v>0</v>
      </c>
      <c r="H58" s="226">
        <v>12</v>
      </c>
      <c r="I58" s="30">
        <v>0</v>
      </c>
      <c r="J58" s="531"/>
      <c r="K58" s="225">
        <v>2</v>
      </c>
      <c r="L58" s="35"/>
      <c r="M58" s="36"/>
    </row>
    <row r="59" spans="1:13" ht="12.75" customHeight="1">
      <c r="A59" s="520"/>
      <c r="B59" s="141"/>
      <c r="C59" s="29" t="s">
        <v>134</v>
      </c>
      <c r="D59" s="136"/>
      <c r="E59" s="196" t="s">
        <v>135</v>
      </c>
      <c r="F59" s="224">
        <f t="shared" si="4"/>
        <v>1</v>
      </c>
      <c r="G59" s="30">
        <v>0</v>
      </c>
      <c r="H59" s="257">
        <v>0</v>
      </c>
      <c r="I59" s="30">
        <v>0</v>
      </c>
      <c r="J59" s="531"/>
      <c r="K59" s="225">
        <v>1</v>
      </c>
      <c r="L59" s="35"/>
      <c r="M59" s="36"/>
    </row>
    <row r="60" spans="1:13" ht="12.75" customHeight="1">
      <c r="A60" s="520"/>
      <c r="B60" s="141"/>
      <c r="C60" s="29" t="s">
        <v>136</v>
      </c>
      <c r="D60" s="136"/>
      <c r="E60" s="196" t="s">
        <v>275</v>
      </c>
      <c r="F60" s="224">
        <f>G60+H60+I60+$J$57/3+K60</f>
        <v>14</v>
      </c>
      <c r="G60" s="30">
        <v>0</v>
      </c>
      <c r="H60" s="258">
        <v>5</v>
      </c>
      <c r="I60" s="30">
        <v>0</v>
      </c>
      <c r="J60" s="531"/>
      <c r="K60" s="31">
        <v>0</v>
      </c>
      <c r="L60" s="35"/>
      <c r="M60" s="36"/>
    </row>
    <row r="61" spans="1:13" ht="12.75" customHeight="1">
      <c r="A61" s="520"/>
      <c r="B61" s="141"/>
      <c r="C61" s="29" t="s">
        <v>137</v>
      </c>
      <c r="D61" s="136"/>
      <c r="E61" s="196" t="s">
        <v>114</v>
      </c>
      <c r="F61" s="224">
        <f t="shared" si="4"/>
        <v>3</v>
      </c>
      <c r="G61" s="30">
        <v>0</v>
      </c>
      <c r="H61" s="226">
        <v>3</v>
      </c>
      <c r="I61" s="30">
        <v>0</v>
      </c>
      <c r="J61" s="30">
        <v>0</v>
      </c>
      <c r="K61" s="31">
        <v>0</v>
      </c>
      <c r="L61" s="35"/>
      <c r="M61" s="36"/>
    </row>
    <row r="62" spans="1:13" ht="12.75" customHeight="1">
      <c r="A62" s="520"/>
      <c r="B62" s="141"/>
      <c r="C62" s="29" t="s">
        <v>138</v>
      </c>
      <c r="D62" s="136"/>
      <c r="E62" s="196" t="s">
        <v>275</v>
      </c>
      <c r="F62" s="224">
        <f t="shared" si="4"/>
        <v>4</v>
      </c>
      <c r="G62" s="30">
        <v>0</v>
      </c>
      <c r="H62" s="370">
        <v>4</v>
      </c>
      <c r="I62" s="30">
        <v>0</v>
      </c>
      <c r="J62" s="30">
        <v>0</v>
      </c>
      <c r="K62" s="31">
        <v>0</v>
      </c>
      <c r="L62" s="35"/>
      <c r="M62" s="36"/>
    </row>
    <row r="63" spans="1:14" ht="12.75" customHeight="1">
      <c r="A63" s="520"/>
      <c r="B63" s="141"/>
      <c r="C63" s="29" t="s">
        <v>139</v>
      </c>
      <c r="D63" s="136"/>
      <c r="E63" s="196" t="s">
        <v>140</v>
      </c>
      <c r="F63" s="384">
        <f t="shared" si="4"/>
        <v>3</v>
      </c>
      <c r="G63" s="30">
        <v>0</v>
      </c>
      <c r="H63" s="381">
        <v>3</v>
      </c>
      <c r="I63" s="30">
        <v>0</v>
      </c>
      <c r="J63" s="30">
        <v>0</v>
      </c>
      <c r="K63" s="31">
        <v>0</v>
      </c>
      <c r="L63" s="35"/>
      <c r="M63" s="36"/>
      <c r="N63" s="533" t="s">
        <v>489</v>
      </c>
    </row>
    <row r="64" spans="1:14" ht="12.75" customHeight="1">
      <c r="A64" s="520"/>
      <c r="B64" s="141"/>
      <c r="C64" s="29" t="s">
        <v>81</v>
      </c>
      <c r="D64" s="136"/>
      <c r="E64" s="454" t="s">
        <v>385</v>
      </c>
      <c r="F64" s="224">
        <f t="shared" si="4"/>
        <v>6</v>
      </c>
      <c r="G64" s="30">
        <v>0</v>
      </c>
      <c r="H64" s="453">
        <v>6</v>
      </c>
      <c r="I64" s="30">
        <v>0</v>
      </c>
      <c r="J64" s="30">
        <v>0</v>
      </c>
      <c r="K64" s="31">
        <v>0</v>
      </c>
      <c r="L64" s="35"/>
      <c r="M64" s="36"/>
      <c r="N64" s="533"/>
    </row>
    <row r="65" spans="1:253" ht="14.25" customHeight="1">
      <c r="A65" s="520"/>
      <c r="B65" s="133" t="s">
        <v>269</v>
      </c>
      <c r="C65" s="144" t="s">
        <v>44</v>
      </c>
      <c r="D65" s="145"/>
      <c r="E65" s="146"/>
      <c r="F65" s="147">
        <f>F66+F67+F68</f>
        <v>6</v>
      </c>
      <c r="G65" s="147">
        <f>G66+G67</f>
        <v>0</v>
      </c>
      <c r="H65" s="147">
        <f>H66+H67+H68</f>
        <v>6</v>
      </c>
      <c r="I65" s="147">
        <f>I66+I67</f>
        <v>0</v>
      </c>
      <c r="J65" s="147">
        <f>J66+J67</f>
        <v>0</v>
      </c>
      <c r="K65" s="163">
        <f>K66+K67</f>
        <v>0</v>
      </c>
      <c r="L65" s="31"/>
      <c r="M65" s="149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  <c r="HC65" s="150"/>
      <c r="HD65" s="15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50"/>
      <c r="IJ65" s="150"/>
      <c r="IK65" s="150"/>
      <c r="IL65" s="150"/>
      <c r="IM65" s="150"/>
      <c r="IN65" s="150"/>
      <c r="IO65" s="150"/>
      <c r="IP65" s="150"/>
      <c r="IQ65" s="150"/>
      <c r="IR65" s="150"/>
      <c r="IS65" s="150"/>
    </row>
    <row r="66" spans="1:13" ht="12.75" customHeight="1">
      <c r="A66" s="520"/>
      <c r="B66" s="141"/>
      <c r="C66" s="29" t="s">
        <v>63</v>
      </c>
      <c r="D66" s="136"/>
      <c r="E66" s="196" t="s">
        <v>115</v>
      </c>
      <c r="F66" s="224">
        <f>SUM(G66:J66)</f>
        <v>2</v>
      </c>
      <c r="G66" s="30">
        <v>0</v>
      </c>
      <c r="H66" s="257">
        <v>2</v>
      </c>
      <c r="I66" s="30">
        <v>0</v>
      </c>
      <c r="J66" s="30">
        <v>0</v>
      </c>
      <c r="K66" s="32">
        <v>0</v>
      </c>
      <c r="L66" s="32"/>
      <c r="M66" s="33"/>
    </row>
    <row r="67" spans="1:13" ht="12.75" customHeight="1">
      <c r="A67" s="520"/>
      <c r="B67" s="141"/>
      <c r="C67" s="29" t="s">
        <v>88</v>
      </c>
      <c r="D67" s="136"/>
      <c r="E67" s="196" t="s">
        <v>109</v>
      </c>
      <c r="F67" s="224">
        <f>SUM(G67:J67)</f>
        <v>2</v>
      </c>
      <c r="G67" s="30">
        <v>0</v>
      </c>
      <c r="H67" s="383">
        <v>2</v>
      </c>
      <c r="I67" s="30">
        <v>0</v>
      </c>
      <c r="J67" s="30">
        <v>0</v>
      </c>
      <c r="K67" s="32">
        <v>0</v>
      </c>
      <c r="L67" s="32"/>
      <c r="M67" s="33"/>
    </row>
    <row r="68" spans="1:13" ht="12.75" customHeight="1">
      <c r="A68" s="520"/>
      <c r="B68" s="141"/>
      <c r="C68" s="29" t="s">
        <v>440</v>
      </c>
      <c r="D68" s="136"/>
      <c r="E68" s="196" t="s">
        <v>468</v>
      </c>
      <c r="F68" s="384">
        <v>2</v>
      </c>
      <c r="G68" s="30">
        <v>0</v>
      </c>
      <c r="H68" s="452">
        <v>2</v>
      </c>
      <c r="I68" s="30">
        <v>0</v>
      </c>
      <c r="J68" s="30">
        <v>0</v>
      </c>
      <c r="K68" s="32">
        <v>0</v>
      </c>
      <c r="L68" s="32"/>
      <c r="M68" s="33"/>
    </row>
    <row r="69" spans="1:13" ht="12.75" customHeight="1">
      <c r="A69" s="520"/>
      <c r="B69" s="245" t="s">
        <v>270</v>
      </c>
      <c r="C69" s="249" t="s">
        <v>239</v>
      </c>
      <c r="D69" s="246"/>
      <c r="E69" s="246"/>
      <c r="F69" s="250"/>
      <c r="G69" s="247"/>
      <c r="H69" s="247"/>
      <c r="I69" s="247"/>
      <c r="J69" s="247"/>
      <c r="K69" s="248"/>
      <c r="L69" s="32"/>
      <c r="M69" s="33"/>
    </row>
    <row r="70" spans="1:13" ht="12.75" customHeight="1">
      <c r="A70" s="520"/>
      <c r="B70" s="245" t="s">
        <v>271</v>
      </c>
      <c r="C70" s="249" t="s">
        <v>240</v>
      </c>
      <c r="D70" s="246"/>
      <c r="E70" s="246"/>
      <c r="F70" s="250"/>
      <c r="G70" s="247"/>
      <c r="H70" s="247"/>
      <c r="I70" s="247"/>
      <c r="J70" s="247"/>
      <c r="K70" s="248"/>
      <c r="L70" s="32"/>
      <c r="M70" s="33"/>
    </row>
    <row r="71" spans="1:253" ht="14.25" customHeight="1">
      <c r="A71" s="520"/>
      <c r="B71" s="151" t="s">
        <v>228</v>
      </c>
      <c r="C71" s="152" t="s">
        <v>14</v>
      </c>
      <c r="D71" s="153" t="s">
        <v>98</v>
      </c>
      <c r="E71" s="314"/>
      <c r="F71" s="154">
        <f>SUM(G71:K71)</f>
        <v>89</v>
      </c>
      <c r="G71" s="154">
        <f>G72+G78+G82</f>
        <v>0</v>
      </c>
      <c r="H71" s="154">
        <f>H72+H78+H82</f>
        <v>79</v>
      </c>
      <c r="I71" s="154">
        <f>I72+I78+I82</f>
        <v>0</v>
      </c>
      <c r="J71" s="154">
        <f>J72+J78+J82</f>
        <v>6</v>
      </c>
      <c r="K71" s="154">
        <f>K72+K78+K82</f>
        <v>4</v>
      </c>
      <c r="L71" s="162">
        <v>6</v>
      </c>
      <c r="M71" s="155" t="s">
        <v>6</v>
      </c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</row>
    <row r="72" spans="1:253" ht="14.25" customHeight="1">
      <c r="A72" s="520"/>
      <c r="B72" s="133" t="s">
        <v>244</v>
      </c>
      <c r="C72" s="134" t="s">
        <v>56</v>
      </c>
      <c r="D72" s="135"/>
      <c r="E72" s="136"/>
      <c r="F72" s="137">
        <f aca="true" t="shared" si="5" ref="F72:F77">SUM(G72:K72)</f>
        <v>50</v>
      </c>
      <c r="G72" s="137">
        <f>SUM(G73:G77)</f>
        <v>0</v>
      </c>
      <c r="H72" s="137">
        <f>SUM(H73:H77)</f>
        <v>40</v>
      </c>
      <c r="I72" s="137">
        <f>SUM(I73:I77)</f>
        <v>0</v>
      </c>
      <c r="J72" s="137">
        <f>SUM(J73:J77)</f>
        <v>6</v>
      </c>
      <c r="K72" s="156">
        <f>SUM(K73:K77)</f>
        <v>4</v>
      </c>
      <c r="L72" s="35"/>
      <c r="M72" s="164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</row>
    <row r="73" spans="1:13" ht="12.75" customHeight="1">
      <c r="A73" s="520"/>
      <c r="B73" s="141"/>
      <c r="C73" s="165" t="s">
        <v>75</v>
      </c>
      <c r="D73" s="166"/>
      <c r="E73" s="199" t="s">
        <v>118</v>
      </c>
      <c r="F73" s="224">
        <f t="shared" si="5"/>
        <v>1</v>
      </c>
      <c r="G73" s="30">
        <v>0</v>
      </c>
      <c r="H73" s="227">
        <v>1</v>
      </c>
      <c r="I73" s="30">
        <v>0</v>
      </c>
      <c r="J73" s="30">
        <v>0</v>
      </c>
      <c r="K73" s="31">
        <v>0</v>
      </c>
      <c r="L73" s="35"/>
      <c r="M73" s="36"/>
    </row>
    <row r="74" spans="1:15" ht="12.75" customHeight="1">
      <c r="A74" s="520"/>
      <c r="B74" s="141"/>
      <c r="C74" s="165" t="s">
        <v>74</v>
      </c>
      <c r="D74" s="166"/>
      <c r="E74" s="199" t="s">
        <v>119</v>
      </c>
      <c r="F74" s="224">
        <f>G74+H74+I74+$J$74/2+K74</f>
        <v>23</v>
      </c>
      <c r="G74" s="30">
        <v>0</v>
      </c>
      <c r="H74" s="226">
        <v>18</v>
      </c>
      <c r="I74" s="30">
        <v>0</v>
      </c>
      <c r="J74" s="531">
        <v>6</v>
      </c>
      <c r="K74" s="418">
        <v>2</v>
      </c>
      <c r="L74" s="35"/>
      <c r="M74" s="36"/>
      <c r="N74" s="532" t="s">
        <v>432</v>
      </c>
      <c r="O74" s="526" t="s">
        <v>499</v>
      </c>
    </row>
    <row r="75" spans="1:15" ht="12.75" customHeight="1">
      <c r="A75" s="520"/>
      <c r="B75" s="141"/>
      <c r="C75" s="165" t="s">
        <v>141</v>
      </c>
      <c r="D75" s="166"/>
      <c r="E75" s="199" t="s">
        <v>119</v>
      </c>
      <c r="F75" s="224">
        <f>G75+H75+I75+$J$74/2+K75</f>
        <v>18</v>
      </c>
      <c r="G75" s="30">
        <v>0</v>
      </c>
      <c r="H75" s="226">
        <v>13</v>
      </c>
      <c r="I75" s="30">
        <v>0</v>
      </c>
      <c r="J75" s="531"/>
      <c r="K75" s="418">
        <v>2</v>
      </c>
      <c r="L75" s="35"/>
      <c r="M75" s="36"/>
      <c r="N75" s="532"/>
      <c r="O75" s="526"/>
    </row>
    <row r="76" spans="1:13" ht="12.75" customHeight="1">
      <c r="A76" s="520"/>
      <c r="B76" s="141"/>
      <c r="C76" s="165" t="s">
        <v>73</v>
      </c>
      <c r="D76" s="166"/>
      <c r="E76" s="199" t="s">
        <v>112</v>
      </c>
      <c r="F76" s="224">
        <f t="shared" si="5"/>
        <v>3</v>
      </c>
      <c r="G76" s="30">
        <v>0</v>
      </c>
      <c r="H76" s="226">
        <v>3</v>
      </c>
      <c r="I76" s="30">
        <v>0</v>
      </c>
      <c r="J76" s="30">
        <v>0</v>
      </c>
      <c r="K76" s="31">
        <v>0</v>
      </c>
      <c r="L76" s="35"/>
      <c r="M76" s="36"/>
    </row>
    <row r="77" spans="1:13" ht="12.75" customHeight="1">
      <c r="A77" s="520"/>
      <c r="B77" s="141"/>
      <c r="C77" s="165" t="s">
        <v>72</v>
      </c>
      <c r="D77" s="166"/>
      <c r="E77" s="199" t="s">
        <v>142</v>
      </c>
      <c r="F77" s="224">
        <f t="shared" si="5"/>
        <v>5</v>
      </c>
      <c r="G77" s="30">
        <v>0</v>
      </c>
      <c r="H77" s="374">
        <v>5</v>
      </c>
      <c r="I77" s="30">
        <v>0</v>
      </c>
      <c r="J77" s="30">
        <v>0</v>
      </c>
      <c r="K77" s="31">
        <v>0</v>
      </c>
      <c r="L77" s="35"/>
      <c r="M77" s="36"/>
    </row>
    <row r="78" spans="1:253" ht="14.25" customHeight="1">
      <c r="A78" s="520"/>
      <c r="B78" s="133" t="s">
        <v>245</v>
      </c>
      <c r="C78" s="134" t="s">
        <v>15</v>
      </c>
      <c r="D78" s="135"/>
      <c r="E78" s="136"/>
      <c r="F78" s="137">
        <f aca="true" t="shared" si="6" ref="F78:F84">SUM(G78:K78)</f>
        <v>12</v>
      </c>
      <c r="G78" s="137">
        <f>SUM(G79:G81)</f>
        <v>0</v>
      </c>
      <c r="H78" s="137">
        <f>SUM(H79:H81)</f>
        <v>12</v>
      </c>
      <c r="I78" s="137">
        <f>SUM(I79:I81)</f>
        <v>0</v>
      </c>
      <c r="J78" s="137">
        <f>SUM(J79:J81)</f>
        <v>0</v>
      </c>
      <c r="K78" s="156">
        <f>SUM(K79:K81)</f>
        <v>0</v>
      </c>
      <c r="L78" s="35"/>
      <c r="M78" s="164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  <c r="IP78" s="150"/>
      <c r="IQ78" s="150"/>
      <c r="IR78" s="150"/>
      <c r="IS78" s="150"/>
    </row>
    <row r="79" spans="1:13" ht="12.75" customHeight="1">
      <c r="A79" s="520"/>
      <c r="B79" s="141"/>
      <c r="C79" s="29" t="s">
        <v>143</v>
      </c>
      <c r="D79" s="136"/>
      <c r="E79" s="196" t="s">
        <v>142</v>
      </c>
      <c r="F79" s="224">
        <f t="shared" si="6"/>
        <v>4</v>
      </c>
      <c r="G79" s="30">
        <v>0</v>
      </c>
      <c r="H79" s="374">
        <v>4</v>
      </c>
      <c r="I79" s="30">
        <v>0</v>
      </c>
      <c r="J79" s="30">
        <v>0</v>
      </c>
      <c r="K79" s="31">
        <v>0</v>
      </c>
      <c r="L79" s="35"/>
      <c r="M79" s="36"/>
    </row>
    <row r="80" spans="1:13" ht="12.75" customHeight="1">
      <c r="A80" s="520"/>
      <c r="B80" s="141"/>
      <c r="C80" s="29" t="s">
        <v>144</v>
      </c>
      <c r="D80" s="136"/>
      <c r="E80" s="196" t="s">
        <v>101</v>
      </c>
      <c r="F80" s="224">
        <f t="shared" si="6"/>
        <v>6</v>
      </c>
      <c r="G80" s="30">
        <v>0</v>
      </c>
      <c r="H80" s="374">
        <v>6</v>
      </c>
      <c r="I80" s="30">
        <v>0</v>
      </c>
      <c r="J80" s="30">
        <v>0</v>
      </c>
      <c r="K80" s="31">
        <v>0</v>
      </c>
      <c r="L80" s="35"/>
      <c r="M80" s="36"/>
    </row>
    <row r="81" spans="1:13" ht="12.75" customHeight="1">
      <c r="A81" s="520"/>
      <c r="B81" s="141"/>
      <c r="C81" s="29" t="s">
        <v>430</v>
      </c>
      <c r="D81" s="136"/>
      <c r="E81" s="196" t="s">
        <v>431</v>
      </c>
      <c r="F81" s="419">
        <f>SUM(G81:K81)</f>
        <v>2</v>
      </c>
      <c r="G81" s="30">
        <v>0</v>
      </c>
      <c r="H81" s="451">
        <v>2</v>
      </c>
      <c r="I81" s="30">
        <v>0</v>
      </c>
      <c r="J81" s="30">
        <v>0</v>
      </c>
      <c r="K81" s="31">
        <v>0</v>
      </c>
      <c r="L81" s="35"/>
      <c r="M81" s="36"/>
    </row>
    <row r="82" spans="1:253" ht="14.25" customHeight="1">
      <c r="A82" s="520"/>
      <c r="B82" s="133" t="s">
        <v>246</v>
      </c>
      <c r="C82" s="134" t="s">
        <v>57</v>
      </c>
      <c r="D82" s="135"/>
      <c r="E82" s="136"/>
      <c r="F82" s="137">
        <f t="shared" si="6"/>
        <v>27</v>
      </c>
      <c r="G82" s="137">
        <f>SUM(G83:G84)</f>
        <v>0</v>
      </c>
      <c r="H82" s="137">
        <f>SUM(H83:H84)</f>
        <v>27</v>
      </c>
      <c r="I82" s="137">
        <f>SUM(I83:I84)</f>
        <v>0</v>
      </c>
      <c r="J82" s="137">
        <f>SUM(J83:J84)</f>
        <v>0</v>
      </c>
      <c r="K82" s="156">
        <f>SUM(K83:K84)</f>
        <v>0</v>
      </c>
      <c r="L82" s="35"/>
      <c r="M82" s="164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</row>
    <row r="83" spans="1:13" ht="12.75" customHeight="1">
      <c r="A83" s="520"/>
      <c r="B83" s="141"/>
      <c r="C83" s="29" t="s">
        <v>145</v>
      </c>
      <c r="D83" s="136"/>
      <c r="E83" s="196" t="s">
        <v>146</v>
      </c>
      <c r="F83" s="224">
        <f t="shared" si="6"/>
        <v>15</v>
      </c>
      <c r="G83" s="30">
        <v>0</v>
      </c>
      <c r="H83" s="226">
        <v>15</v>
      </c>
      <c r="I83" s="30">
        <v>0</v>
      </c>
      <c r="J83" s="30">
        <v>0</v>
      </c>
      <c r="K83" s="31">
        <v>0</v>
      </c>
      <c r="L83" s="35"/>
      <c r="M83" s="167"/>
    </row>
    <row r="84" spans="1:13" ht="12.75" customHeight="1">
      <c r="A84" s="520"/>
      <c r="B84" s="141"/>
      <c r="C84" s="29" t="s">
        <v>71</v>
      </c>
      <c r="D84" s="136"/>
      <c r="E84" s="196" t="s">
        <v>146</v>
      </c>
      <c r="F84" s="224">
        <f t="shared" si="6"/>
        <v>12</v>
      </c>
      <c r="G84" s="30">
        <v>0</v>
      </c>
      <c r="H84" s="319">
        <v>12</v>
      </c>
      <c r="I84" s="30">
        <v>0</v>
      </c>
      <c r="J84" s="30">
        <v>0</v>
      </c>
      <c r="K84" s="31">
        <v>0</v>
      </c>
      <c r="L84" s="35"/>
      <c r="M84" s="167"/>
    </row>
    <row r="85" spans="1:13" ht="12.75">
      <c r="A85" s="520"/>
      <c r="B85" s="251" t="s">
        <v>247</v>
      </c>
      <c r="C85" s="249" t="s">
        <v>239</v>
      </c>
      <c r="D85" s="246"/>
      <c r="E85" s="246"/>
      <c r="F85" s="250"/>
      <c r="G85" s="247"/>
      <c r="H85" s="247"/>
      <c r="I85" s="247"/>
      <c r="J85" s="247"/>
      <c r="K85" s="248"/>
      <c r="L85" s="35"/>
      <c r="M85" s="167"/>
    </row>
    <row r="86" spans="1:13" ht="13.5" thickBot="1">
      <c r="A86" s="519"/>
      <c r="B86" s="252" t="s">
        <v>248</v>
      </c>
      <c r="C86" s="253" t="s">
        <v>240</v>
      </c>
      <c r="D86" s="254"/>
      <c r="E86" s="254"/>
      <c r="F86" s="255"/>
      <c r="G86" s="256"/>
      <c r="H86" s="256"/>
      <c r="I86" s="256"/>
      <c r="J86" s="256"/>
      <c r="K86" s="256"/>
      <c r="L86" s="168"/>
      <c r="M86" s="169"/>
    </row>
    <row r="87" spans="1:5" ht="12.75">
      <c r="A87"/>
      <c r="B87" s="170"/>
      <c r="C87" s="38"/>
      <c r="D87" s="103"/>
      <c r="E87" s="309"/>
    </row>
    <row r="88" spans="3:13" ht="15">
      <c r="C88" s="171" t="s">
        <v>147</v>
      </c>
      <c r="F88" s="14">
        <f aca="true" t="shared" si="7" ref="F88:L88">F6+F7+F9+F23+F47+F71</f>
        <v>450</v>
      </c>
      <c r="G88" s="14">
        <f t="shared" si="7"/>
        <v>0</v>
      </c>
      <c r="H88" s="14">
        <f t="shared" si="7"/>
        <v>329</v>
      </c>
      <c r="I88" s="14">
        <f t="shared" si="7"/>
        <v>0</v>
      </c>
      <c r="J88" s="14">
        <f t="shared" si="7"/>
        <v>89</v>
      </c>
      <c r="K88" s="14">
        <f t="shared" si="7"/>
        <v>32</v>
      </c>
      <c r="L88" s="14">
        <f t="shared" si="7"/>
        <v>60</v>
      </c>
      <c r="M88" s="14"/>
    </row>
    <row r="89" spans="6:7" ht="15">
      <c r="F89" s="173" t="s">
        <v>148</v>
      </c>
      <c r="G89" s="47"/>
    </row>
    <row r="90" spans="8:10" ht="15">
      <c r="H90" s="8">
        <f>H88+7*10+9*5</f>
        <v>444</v>
      </c>
      <c r="J90" s="8">
        <f>J88+15</f>
        <v>104</v>
      </c>
    </row>
    <row r="91" ht="15">
      <c r="B91" s="174"/>
    </row>
    <row r="92" ht="15">
      <c r="B92" s="174"/>
    </row>
    <row r="93" ht="15">
      <c r="B93" s="174"/>
    </row>
    <row r="95" spans="3:13" ht="14.25" customHeight="1">
      <c r="C95" s="175"/>
      <c r="F95" s="176"/>
      <c r="G95" s="176"/>
      <c r="H95" s="176"/>
      <c r="I95" s="176"/>
      <c r="J95" s="176"/>
      <c r="K95" s="176"/>
      <c r="L95" s="176"/>
      <c r="M95" s="16"/>
    </row>
    <row r="96" spans="3:13" ht="15">
      <c r="C96" s="177"/>
      <c r="F96" s="17"/>
      <c r="G96" s="178"/>
      <c r="H96" s="17"/>
      <c r="I96" s="17"/>
      <c r="J96" s="17"/>
      <c r="K96" s="17"/>
      <c r="L96" s="17"/>
      <c r="M96" s="17"/>
    </row>
    <row r="97" spans="3:13" ht="15">
      <c r="C97" s="177"/>
      <c r="F97" s="17"/>
      <c r="G97" s="179"/>
      <c r="H97" s="17"/>
      <c r="I97" s="17"/>
      <c r="J97" s="17"/>
      <c r="K97" s="17"/>
      <c r="L97" s="17"/>
      <c r="M97" s="17"/>
    </row>
  </sheetData>
  <sheetProtection/>
  <mergeCells count="16">
    <mergeCell ref="O74:O75"/>
    <mergeCell ref="B1:M1"/>
    <mergeCell ref="F41:J41"/>
    <mergeCell ref="N31:N33"/>
    <mergeCell ref="J57:J60"/>
    <mergeCell ref="J74:J75"/>
    <mergeCell ref="B4:K4"/>
    <mergeCell ref="N74:N75"/>
    <mergeCell ref="N63:N64"/>
    <mergeCell ref="A6:A7"/>
    <mergeCell ref="J31:J33"/>
    <mergeCell ref="E38:E41"/>
    <mergeCell ref="F38:J38"/>
    <mergeCell ref="F39:J39"/>
    <mergeCell ref="F40:J40"/>
    <mergeCell ref="A9:A8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E1">
      <selection activeCell="P16" sqref="P16"/>
    </sheetView>
  </sheetViews>
  <sheetFormatPr defaultColWidth="11.421875" defaultRowHeight="12.75"/>
  <cols>
    <col min="1" max="1" width="11.421875" style="387" customWidth="1"/>
  </cols>
  <sheetData>
    <row r="1" ht="12.75">
      <c r="A1" s="387">
        <f>35/5*3</f>
        <v>21</v>
      </c>
    </row>
    <row r="2" spans="1:22" s="4" customFormat="1" ht="25.5">
      <c r="A2" s="6">
        <f>SUM(A4:A12)</f>
        <v>17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v>6</v>
      </c>
      <c r="B4" s="67" t="s">
        <v>37</v>
      </c>
      <c r="C4" s="180"/>
      <c r="D4" s="218"/>
      <c r="E4" s="558" t="s">
        <v>532</v>
      </c>
      <c r="F4" s="558"/>
      <c r="G4" s="558"/>
      <c r="H4" s="558"/>
      <c r="I4" s="558"/>
      <c r="J4" s="558"/>
      <c r="K4" s="559"/>
      <c r="L4" s="181"/>
      <c r="M4" s="182"/>
      <c r="N4" s="558" t="s">
        <v>533</v>
      </c>
      <c r="O4" s="558"/>
      <c r="P4" s="558"/>
      <c r="Q4" s="558"/>
      <c r="R4" s="558"/>
      <c r="S4" s="558"/>
      <c r="T4" s="559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39.75" customHeight="1" thickBot="1">
      <c r="A6" s="15">
        <f>3.5+2</f>
        <v>5.5</v>
      </c>
      <c r="B6" s="62" t="s">
        <v>38</v>
      </c>
      <c r="C6" s="430"/>
      <c r="D6" s="538" t="s">
        <v>535</v>
      </c>
      <c r="E6" s="538"/>
      <c r="F6" s="538"/>
      <c r="G6" s="538"/>
      <c r="H6" s="538"/>
      <c r="I6" s="538"/>
      <c r="J6" s="539"/>
      <c r="K6" s="181"/>
      <c r="L6" s="380"/>
      <c r="M6" s="182"/>
      <c r="N6" s="782" t="s">
        <v>536</v>
      </c>
      <c r="O6" s="783"/>
      <c r="P6" s="783"/>
      <c r="Q6" s="784"/>
      <c r="R6" s="431"/>
      <c r="S6" s="431"/>
      <c r="T6" s="431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54.75" customHeight="1" thickBot="1">
      <c r="A8" s="7">
        <f>3+1+1.5</f>
        <v>5.5</v>
      </c>
      <c r="B8" s="67" t="s">
        <v>39</v>
      </c>
      <c r="C8" s="180"/>
      <c r="D8" s="218"/>
      <c r="E8" s="558" t="s">
        <v>532</v>
      </c>
      <c r="F8" s="558"/>
      <c r="G8" s="558"/>
      <c r="H8" s="558"/>
      <c r="I8" s="558"/>
      <c r="J8" s="558"/>
      <c r="K8" s="559"/>
      <c r="L8" s="181"/>
      <c r="M8" s="182"/>
      <c r="N8" s="557" t="s">
        <v>534</v>
      </c>
      <c r="O8" s="559"/>
      <c r="P8" s="638" t="s">
        <v>574</v>
      </c>
      <c r="Q8" s="639"/>
      <c r="R8" s="640"/>
      <c r="S8" s="373" t="s">
        <v>417</v>
      </c>
      <c r="T8" s="101"/>
      <c r="U8" s="101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440"/>
      <c r="B10" s="62" t="s">
        <v>40</v>
      </c>
      <c r="C10" s="678" t="s">
        <v>473</v>
      </c>
      <c r="D10" s="679"/>
      <c r="E10" s="679"/>
      <c r="F10" s="679"/>
      <c r="G10" s="679"/>
      <c r="H10" s="679"/>
      <c r="I10" s="679"/>
      <c r="J10" s="679"/>
      <c r="K10" s="680"/>
      <c r="L10" s="317"/>
      <c r="M10" s="439"/>
      <c r="N10" s="681" t="s">
        <v>473</v>
      </c>
      <c r="O10" s="679"/>
      <c r="P10" s="679"/>
      <c r="Q10" s="679"/>
      <c r="R10" s="679"/>
      <c r="S10" s="679"/>
      <c r="T10" s="679"/>
      <c r="U10" s="679"/>
      <c r="V10" s="682"/>
    </row>
    <row r="11" spans="1:22" s="8" customFormat="1" ht="13.5" thickBot="1">
      <c r="A11" s="386"/>
      <c r="B11" s="50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7"/>
      <c r="N11" s="236"/>
      <c r="O11" s="236"/>
      <c r="P11" s="236"/>
      <c r="Q11" s="236"/>
      <c r="R11" s="236"/>
      <c r="S11" s="236"/>
      <c r="T11" s="236"/>
      <c r="U11" s="236"/>
      <c r="V11" s="236"/>
    </row>
    <row r="12" spans="1:22" s="8" customFormat="1" ht="28.5" customHeight="1" thickBot="1">
      <c r="A12" s="440"/>
      <c r="B12" s="67" t="s">
        <v>41</v>
      </c>
      <c r="C12" s="678" t="s">
        <v>473</v>
      </c>
      <c r="D12" s="679"/>
      <c r="E12" s="679"/>
      <c r="F12" s="679"/>
      <c r="G12" s="679"/>
      <c r="H12" s="679"/>
      <c r="I12" s="679"/>
      <c r="J12" s="679"/>
      <c r="K12" s="680"/>
      <c r="L12" s="317"/>
      <c r="M12" s="439"/>
      <c r="N12" s="681" t="s">
        <v>473</v>
      </c>
      <c r="O12" s="679"/>
      <c r="P12" s="679"/>
      <c r="Q12" s="679"/>
      <c r="R12" s="679"/>
      <c r="S12" s="679"/>
      <c r="T12" s="679"/>
      <c r="U12" s="679"/>
      <c r="V12" s="682"/>
    </row>
    <row r="13" ht="13.5" thickBot="1"/>
    <row r="14" spans="1:10" s="8" customFormat="1" ht="16.5" thickBot="1">
      <c r="A14" s="393">
        <f>((14+3/5+4/5)*'sem 9'!A14+'sem 3'!A2)/(14+4/5+2*3/5)</f>
        <v>34.993750000000006</v>
      </c>
      <c r="C14" s="400"/>
      <c r="D14" s="414" t="s">
        <v>464</v>
      </c>
      <c r="E14" s="415" t="s">
        <v>17</v>
      </c>
      <c r="F14" s="416"/>
      <c r="G14" s="416"/>
      <c r="H14" s="773"/>
      <c r="I14" s="773"/>
      <c r="J14" s="774"/>
    </row>
    <row r="15" spans="1:16" ht="15.75">
      <c r="A15" s="217" t="s">
        <v>459</v>
      </c>
      <c r="C15" s="775" t="s">
        <v>465</v>
      </c>
      <c r="D15" s="401"/>
      <c r="E15" s="402" t="s">
        <v>18</v>
      </c>
      <c r="F15" s="403">
        <v>1</v>
      </c>
      <c r="G15" s="403"/>
      <c r="H15" s="777"/>
      <c r="I15" s="777"/>
      <c r="J15" s="778"/>
      <c r="P15" s="8"/>
    </row>
    <row r="16" spans="3:10" ht="15.75" customHeight="1">
      <c r="C16" s="775"/>
      <c r="D16" s="401"/>
      <c r="E16" s="402" t="s">
        <v>19</v>
      </c>
      <c r="F16" s="403">
        <v>2</v>
      </c>
      <c r="G16" s="403"/>
      <c r="H16" s="461"/>
      <c r="I16" s="462"/>
      <c r="J16" s="460"/>
    </row>
    <row r="17" spans="3:10" ht="15.75">
      <c r="C17" s="775"/>
      <c r="D17" s="401"/>
      <c r="E17" s="402" t="s">
        <v>20</v>
      </c>
      <c r="F17" s="403">
        <v>3</v>
      </c>
      <c r="G17" s="403"/>
      <c r="H17" s="777"/>
      <c r="I17" s="777"/>
      <c r="J17" s="778"/>
    </row>
    <row r="18" spans="3:10" ht="13.5" customHeight="1">
      <c r="C18" s="775"/>
      <c r="D18" s="401"/>
      <c r="E18" s="402" t="s">
        <v>21</v>
      </c>
      <c r="F18" s="403">
        <v>4</v>
      </c>
      <c r="G18" s="403"/>
      <c r="H18" s="777"/>
      <c r="I18" s="777"/>
      <c r="J18" s="778"/>
    </row>
    <row r="19" spans="3:10" ht="15.75">
      <c r="C19" s="775"/>
      <c r="D19" s="401"/>
      <c r="E19" s="402" t="s">
        <v>22</v>
      </c>
      <c r="F19" s="403">
        <v>5</v>
      </c>
      <c r="G19" s="403"/>
      <c r="H19" s="778"/>
      <c r="I19" s="778"/>
      <c r="J19" s="778"/>
    </row>
    <row r="20" spans="3:10" ht="15.75">
      <c r="C20" s="775"/>
      <c r="D20" s="404"/>
      <c r="E20" s="402" t="s">
        <v>23</v>
      </c>
      <c r="F20" s="403">
        <v>6</v>
      </c>
      <c r="G20" s="403"/>
      <c r="H20" s="778"/>
      <c r="I20" s="778"/>
      <c r="J20" s="778"/>
    </row>
    <row r="21" spans="3:10" ht="15.75">
      <c r="C21" s="775"/>
      <c r="D21" s="405"/>
      <c r="E21" s="406" t="s">
        <v>24</v>
      </c>
      <c r="F21" s="403">
        <v>7</v>
      </c>
      <c r="G21" s="407"/>
      <c r="H21" s="780"/>
      <c r="I21" s="780"/>
      <c r="J21" s="781"/>
    </row>
    <row r="22" spans="3:10" ht="15.75" customHeight="1">
      <c r="C22" s="775"/>
      <c r="D22" s="401"/>
      <c r="E22" s="402" t="s">
        <v>466</v>
      </c>
      <c r="F22" s="408"/>
      <c r="G22" s="409"/>
      <c r="H22" s="778"/>
      <c r="I22" s="778"/>
      <c r="J22" s="778"/>
    </row>
    <row r="23" spans="3:10" ht="15.75">
      <c r="C23" s="775"/>
      <c r="D23" s="401"/>
      <c r="E23" s="402" t="s">
        <v>28</v>
      </c>
      <c r="F23" s="403">
        <v>8</v>
      </c>
      <c r="G23" s="403"/>
      <c r="H23" s="777"/>
      <c r="I23" s="777"/>
      <c r="J23" s="778"/>
    </row>
    <row r="24" spans="3:10" ht="15.75">
      <c r="C24" s="775"/>
      <c r="D24" s="401"/>
      <c r="E24" s="402" t="s">
        <v>29</v>
      </c>
      <c r="F24" s="403">
        <v>9</v>
      </c>
      <c r="G24" s="410"/>
      <c r="H24" s="786"/>
      <c r="I24" s="786"/>
      <c r="J24" s="787"/>
    </row>
    <row r="25" spans="3:10" ht="15.75">
      <c r="C25" s="775"/>
      <c r="D25" s="411"/>
      <c r="E25" s="402" t="s">
        <v>30</v>
      </c>
      <c r="F25" s="785" t="s">
        <v>467</v>
      </c>
      <c r="G25" s="785"/>
      <c r="H25" s="777"/>
      <c r="I25" s="777"/>
      <c r="J25" s="778"/>
    </row>
    <row r="26" spans="3:10" ht="15.75">
      <c r="C26" s="775"/>
      <c r="D26" s="411"/>
      <c r="E26" s="402" t="s">
        <v>31</v>
      </c>
      <c r="F26" s="785"/>
      <c r="G26" s="785"/>
      <c r="H26" s="777"/>
      <c r="I26" s="777"/>
      <c r="J26" s="778"/>
    </row>
    <row r="27" spans="3:10" ht="15.75">
      <c r="C27" s="775"/>
      <c r="D27" s="411"/>
      <c r="E27" s="402" t="s">
        <v>32</v>
      </c>
      <c r="F27" s="403"/>
      <c r="G27" s="403"/>
      <c r="H27" s="777"/>
      <c r="I27" s="777"/>
      <c r="J27" s="778"/>
    </row>
    <row r="28" spans="3:10" ht="15.75">
      <c r="C28" s="775"/>
      <c r="D28" s="411"/>
      <c r="E28" s="437" t="s">
        <v>33</v>
      </c>
      <c r="F28" s="438"/>
      <c r="G28" s="438"/>
      <c r="H28" s="779"/>
      <c r="I28" s="779"/>
      <c r="J28" s="778"/>
    </row>
    <row r="29" spans="3:10" ht="16.5" thickBot="1">
      <c r="C29" s="776"/>
      <c r="D29" s="432"/>
      <c r="E29" s="433" t="s">
        <v>34</v>
      </c>
      <c r="F29" s="434"/>
      <c r="G29" s="435"/>
      <c r="H29" s="436"/>
      <c r="I29" s="412"/>
      <c r="J29" s="413"/>
    </row>
  </sheetData>
  <sheetProtection/>
  <mergeCells count="27">
    <mergeCell ref="N6:Q6"/>
    <mergeCell ref="C10:K10"/>
    <mergeCell ref="C12:K12"/>
    <mergeCell ref="N10:V10"/>
    <mergeCell ref="N12:V12"/>
    <mergeCell ref="F25:G26"/>
    <mergeCell ref="P8:R8"/>
    <mergeCell ref="H23:J23"/>
    <mergeCell ref="H24:J24"/>
    <mergeCell ref="H25:J25"/>
    <mergeCell ref="H20:J20"/>
    <mergeCell ref="H27:J27"/>
    <mergeCell ref="H28:J28"/>
    <mergeCell ref="H21:J21"/>
    <mergeCell ref="H22:J22"/>
    <mergeCell ref="D6:J6"/>
    <mergeCell ref="H26:J26"/>
    <mergeCell ref="E4:K4"/>
    <mergeCell ref="N4:T4"/>
    <mergeCell ref="E8:K8"/>
    <mergeCell ref="N8:O8"/>
    <mergeCell ref="H14:J14"/>
    <mergeCell ref="C15:C29"/>
    <mergeCell ref="H15:J15"/>
    <mergeCell ref="H17:J17"/>
    <mergeCell ref="H18:J18"/>
    <mergeCell ref="H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">
      <selection activeCell="F14" sqref="F14"/>
    </sheetView>
  </sheetViews>
  <sheetFormatPr defaultColWidth="11.57421875" defaultRowHeight="12.75"/>
  <cols>
    <col min="1" max="1" width="17.421875" style="325" bestFit="1" customWidth="1"/>
    <col min="2" max="2" width="19.00390625" style="325" customWidth="1"/>
    <col min="3" max="3" width="14.28125" style="325" bestFit="1" customWidth="1"/>
    <col min="4" max="4" width="33.00390625" style="325" bestFit="1" customWidth="1"/>
    <col min="5" max="5" width="24.140625" style="325" customWidth="1"/>
    <col min="6" max="6" width="18.7109375" style="324" customWidth="1"/>
    <col min="7" max="7" width="12.8515625" style="324" bestFit="1" customWidth="1"/>
    <col min="8" max="8" width="11.140625" style="324" customWidth="1"/>
    <col min="9" max="9" width="12.28125" style="324" customWidth="1"/>
    <col min="10" max="10" width="11.140625" style="324" customWidth="1"/>
    <col min="11" max="11" width="11.57421875" style="324" customWidth="1"/>
    <col min="12" max="12" width="14.28125" style="324" customWidth="1"/>
    <col min="13" max="13" width="17.7109375" style="325" bestFit="1" customWidth="1"/>
    <col min="14" max="16" width="11.57421875" style="325" customWidth="1"/>
    <col min="17" max="17" width="17.7109375" style="325" bestFit="1" customWidth="1"/>
    <col min="18" max="16384" width="11.57421875" style="325" customWidth="1"/>
  </cols>
  <sheetData>
    <row r="2" spans="1:6" ht="15.75">
      <c r="A2" s="321" t="s">
        <v>402</v>
      </c>
      <c r="B2" s="788" t="s">
        <v>410</v>
      </c>
      <c r="C2" s="788"/>
      <c r="D2" s="322"/>
      <c r="E2" s="322"/>
      <c r="F2" s="323"/>
    </row>
    <row r="3" ht="16.5" thickBot="1"/>
    <row r="4" spans="2:12" ht="32.25" thickBot="1">
      <c r="B4" s="353" t="s">
        <v>58</v>
      </c>
      <c r="C4" s="354" t="s">
        <v>59</v>
      </c>
      <c r="D4" s="355" t="s">
        <v>47</v>
      </c>
      <c r="E4" s="355" t="s">
        <v>85</v>
      </c>
      <c r="F4" s="356" t="s">
        <v>60</v>
      </c>
      <c r="G4" s="357" t="s">
        <v>403</v>
      </c>
      <c r="H4" s="358" t="s">
        <v>404</v>
      </c>
      <c r="I4" s="358" t="s">
        <v>405</v>
      </c>
      <c r="J4" s="358" t="s">
        <v>406</v>
      </c>
      <c r="K4" s="359" t="s">
        <v>407</v>
      </c>
      <c r="L4" s="360" t="s">
        <v>408</v>
      </c>
    </row>
    <row r="5" spans="1:16" ht="15.75">
      <c r="A5" s="325">
        <v>1</v>
      </c>
      <c r="B5" s="362" t="s">
        <v>177</v>
      </c>
      <c r="C5" s="363" t="s">
        <v>178</v>
      </c>
      <c r="D5" s="364" t="s">
        <v>343</v>
      </c>
      <c r="E5" s="326" t="s">
        <v>355</v>
      </c>
      <c r="F5" s="337" t="s">
        <v>520</v>
      </c>
      <c r="G5" s="327"/>
      <c r="H5" s="327"/>
      <c r="I5" s="327"/>
      <c r="J5" s="327"/>
      <c r="K5" s="328"/>
      <c r="L5" s="329"/>
      <c r="M5" s="48"/>
      <c r="O5" s="18"/>
      <c r="P5" s="18"/>
    </row>
    <row r="6" spans="1:13" ht="15.75">
      <c r="A6" s="325">
        <v>2</v>
      </c>
      <c r="B6" s="365" t="s">
        <v>200</v>
      </c>
      <c r="C6" s="192" t="s">
        <v>201</v>
      </c>
      <c r="D6" s="40" t="s">
        <v>379</v>
      </c>
      <c r="E6" s="40" t="s">
        <v>364</v>
      </c>
      <c r="F6" s="331" t="s">
        <v>520</v>
      </c>
      <c r="G6" s="332"/>
      <c r="H6" s="332"/>
      <c r="I6" s="332"/>
      <c r="J6" s="332"/>
      <c r="K6" s="333"/>
      <c r="L6" s="334"/>
      <c r="M6" s="335"/>
    </row>
    <row r="7" spans="1:13" ht="31.5">
      <c r="A7" s="325">
        <v>3</v>
      </c>
      <c r="B7" s="365" t="s">
        <v>212</v>
      </c>
      <c r="C7" s="192" t="s">
        <v>213</v>
      </c>
      <c r="D7" s="88" t="s">
        <v>363</v>
      </c>
      <c r="E7" s="105" t="s">
        <v>357</v>
      </c>
      <c r="F7" s="331" t="s">
        <v>450</v>
      </c>
      <c r="G7" s="332"/>
      <c r="H7" s="336"/>
      <c r="I7" s="332"/>
      <c r="J7" s="336"/>
      <c r="K7" s="333"/>
      <c r="L7" s="334"/>
      <c r="M7" s="335"/>
    </row>
    <row r="8" spans="1:16" ht="15.75">
      <c r="A8" s="325">
        <v>4</v>
      </c>
      <c r="B8" s="365" t="s">
        <v>181</v>
      </c>
      <c r="C8" s="192" t="s">
        <v>182</v>
      </c>
      <c r="D8" s="302" t="s">
        <v>176</v>
      </c>
      <c r="E8" s="105" t="s">
        <v>359</v>
      </c>
      <c r="F8" s="331" t="s">
        <v>450</v>
      </c>
      <c r="G8" s="332"/>
      <c r="H8" s="332"/>
      <c r="I8" s="332"/>
      <c r="J8" s="332"/>
      <c r="K8" s="333"/>
      <c r="L8" s="334"/>
      <c r="M8" s="48"/>
      <c r="O8" s="18"/>
      <c r="P8" s="18"/>
    </row>
    <row r="9" spans="1:16" ht="31.5">
      <c r="A9" s="325">
        <v>5</v>
      </c>
      <c r="B9" s="365" t="s">
        <v>192</v>
      </c>
      <c r="C9" s="192" t="s">
        <v>193</v>
      </c>
      <c r="D9" s="104" t="s">
        <v>278</v>
      </c>
      <c r="E9" s="42" t="s">
        <v>366</v>
      </c>
      <c r="F9" s="338" t="s">
        <v>449</v>
      </c>
      <c r="G9" s="332"/>
      <c r="H9" s="332"/>
      <c r="I9" s="332"/>
      <c r="J9" s="332"/>
      <c r="K9" s="333"/>
      <c r="L9" s="334"/>
      <c r="M9" s="335"/>
      <c r="O9" s="18"/>
      <c r="P9" s="18"/>
    </row>
    <row r="10" spans="1:16" ht="31.5">
      <c r="A10" s="325">
        <v>6</v>
      </c>
      <c r="B10" s="365" t="s">
        <v>196</v>
      </c>
      <c r="C10" s="192" t="s">
        <v>197</v>
      </c>
      <c r="D10" s="104" t="s">
        <v>278</v>
      </c>
      <c r="E10" s="104" t="s">
        <v>368</v>
      </c>
      <c r="F10" s="331" t="s">
        <v>449</v>
      </c>
      <c r="G10" s="361"/>
      <c r="H10" s="361"/>
      <c r="I10" s="361"/>
      <c r="J10" s="361"/>
      <c r="K10" s="333"/>
      <c r="L10" s="339"/>
      <c r="M10" s="48"/>
      <c r="O10" s="18"/>
      <c r="P10" s="18"/>
    </row>
    <row r="11" spans="1:16" ht="15.75">
      <c r="A11" s="325">
        <v>7</v>
      </c>
      <c r="B11" s="365" t="s">
        <v>209</v>
      </c>
      <c r="C11" s="192" t="s">
        <v>416</v>
      </c>
      <c r="D11" s="42" t="s">
        <v>341</v>
      </c>
      <c r="E11" s="40" t="s">
        <v>380</v>
      </c>
      <c r="F11" s="338" t="s">
        <v>448</v>
      </c>
      <c r="G11" s="332"/>
      <c r="H11" s="332"/>
      <c r="I11" s="332"/>
      <c r="J11" s="332"/>
      <c r="K11" s="333"/>
      <c r="L11" s="339"/>
      <c r="M11" s="335"/>
      <c r="O11" s="18"/>
      <c r="P11" s="18"/>
    </row>
    <row r="12" spans="1:17" ht="15.75">
      <c r="A12" s="325">
        <v>8</v>
      </c>
      <c r="B12" s="366" t="s">
        <v>276</v>
      </c>
      <c r="C12" s="300" t="s">
        <v>398</v>
      </c>
      <c r="D12" s="501"/>
      <c r="E12" s="502"/>
      <c r="F12" s="503"/>
      <c r="G12" s="504"/>
      <c r="H12" s="504"/>
      <c r="I12" s="504"/>
      <c r="J12" s="505"/>
      <c r="K12" s="506"/>
      <c r="L12" s="507"/>
      <c r="M12" s="335"/>
      <c r="O12" s="18"/>
      <c r="P12" s="18"/>
      <c r="Q12" s="48"/>
    </row>
    <row r="13" spans="1:16" ht="18" customHeight="1" thickBot="1">
      <c r="A13" s="325">
        <v>9</v>
      </c>
      <c r="B13" s="367" t="s">
        <v>216</v>
      </c>
      <c r="C13" s="368" t="s">
        <v>217</v>
      </c>
      <c r="D13" s="508"/>
      <c r="E13" s="508"/>
      <c r="F13" s="509"/>
      <c r="G13" s="510"/>
      <c r="H13" s="510"/>
      <c r="I13" s="510"/>
      <c r="J13" s="510"/>
      <c r="K13" s="511"/>
      <c r="L13" s="512"/>
      <c r="M13" s="335"/>
      <c r="O13" s="18"/>
      <c r="P13" s="18"/>
    </row>
    <row r="15" spans="1:14" ht="15.75">
      <c r="A15" s="340" t="s">
        <v>415</v>
      </c>
      <c r="B15" s="341" t="s">
        <v>411</v>
      </c>
      <c r="C15" s="349"/>
      <c r="D15" s="349"/>
      <c r="E15" s="324" t="s">
        <v>409</v>
      </c>
      <c r="F15" s="324" t="s">
        <v>412</v>
      </c>
      <c r="G15" s="346" t="s">
        <v>413</v>
      </c>
      <c r="H15" s="346"/>
      <c r="I15" s="346"/>
      <c r="J15" s="346"/>
      <c r="K15" s="346"/>
      <c r="L15" s="346"/>
      <c r="M15" s="346"/>
      <c r="N15" s="346"/>
    </row>
    <row r="16" spans="1:14" ht="31.5">
      <c r="A16" s="342" t="s">
        <v>19</v>
      </c>
      <c r="B16" s="330"/>
      <c r="C16" s="330"/>
      <c r="D16" s="104"/>
      <c r="E16" s="344" t="s">
        <v>521</v>
      </c>
      <c r="F16" s="350"/>
      <c r="G16" s="459" t="s">
        <v>522</v>
      </c>
      <c r="H16" s="346"/>
      <c r="I16" s="346"/>
      <c r="J16" s="346"/>
      <c r="K16" s="346"/>
      <c r="L16" s="346"/>
      <c r="M16" s="346"/>
      <c r="N16" s="346"/>
    </row>
    <row r="17" spans="1:14" ht="31.5">
      <c r="A17" s="342" t="s">
        <v>21</v>
      </c>
      <c r="B17" s="330"/>
      <c r="C17" s="330"/>
      <c r="D17" s="104"/>
      <c r="E17" s="344" t="s">
        <v>521</v>
      </c>
      <c r="F17" s="350"/>
      <c r="M17" s="324"/>
      <c r="N17" s="324"/>
    </row>
    <row r="18" spans="1:14" ht="31.5">
      <c r="A18" s="342" t="s">
        <v>23</v>
      </c>
      <c r="B18" s="330"/>
      <c r="C18" s="330"/>
      <c r="D18" s="104"/>
      <c r="E18" s="344" t="s">
        <v>521</v>
      </c>
      <c r="F18" s="345"/>
      <c r="M18" s="324"/>
      <c r="N18" s="324"/>
    </row>
    <row r="19" spans="1:14" ht="31.5">
      <c r="A19" s="342" t="s">
        <v>28</v>
      </c>
      <c r="B19" s="330"/>
      <c r="C19" s="330"/>
      <c r="D19" s="104"/>
      <c r="E19" s="344" t="s">
        <v>521</v>
      </c>
      <c r="F19" s="350"/>
      <c r="M19" s="324"/>
      <c r="N19" s="324"/>
    </row>
    <row r="20" spans="1:14" ht="15.75">
      <c r="A20" s="342" t="s">
        <v>30</v>
      </c>
      <c r="B20" s="343"/>
      <c r="C20" s="343"/>
      <c r="D20" s="351"/>
      <c r="E20" s="344"/>
      <c r="F20" s="350"/>
      <c r="G20" s="352"/>
      <c r="M20" s="324"/>
      <c r="N20" s="324"/>
    </row>
    <row r="21" spans="1:14" ht="15.75">
      <c r="A21" s="348" t="s">
        <v>32</v>
      </c>
      <c r="B21" s="330"/>
      <c r="C21" s="330"/>
      <c r="D21" s="330"/>
      <c r="E21" s="344"/>
      <c r="F21" s="347"/>
      <c r="M21" s="324"/>
      <c r="N21" s="324"/>
    </row>
    <row r="22" spans="2:14" ht="15.75">
      <c r="B22" s="349"/>
      <c r="C22" s="349"/>
      <c r="D22" s="349"/>
      <c r="F22" s="325"/>
      <c r="M22" s="324"/>
      <c r="N22" s="324"/>
    </row>
    <row r="23" spans="1:14" ht="15.75">
      <c r="A23" s="340" t="s">
        <v>414</v>
      </c>
      <c r="B23" s="341" t="s">
        <v>411</v>
      </c>
      <c r="C23" s="349"/>
      <c r="D23" s="349"/>
      <c r="F23" s="325"/>
      <c r="M23" s="324"/>
      <c r="N23" s="324"/>
    </row>
    <row r="24" spans="1:13" ht="31.5">
      <c r="A24" s="342" t="s">
        <v>19</v>
      </c>
      <c r="B24" s="330"/>
      <c r="C24" s="330"/>
      <c r="D24" s="104"/>
      <c r="E24" s="344" t="s">
        <v>521</v>
      </c>
      <c r="F24" s="350"/>
      <c r="G24" s="352"/>
      <c r="M24" s="324"/>
    </row>
    <row r="25" spans="1:13" ht="31.5">
      <c r="A25" s="342" t="s">
        <v>21</v>
      </c>
      <c r="B25" s="343"/>
      <c r="C25" s="343"/>
      <c r="D25" s="104"/>
      <c r="E25" s="344" t="s">
        <v>521</v>
      </c>
      <c r="F25" s="345"/>
      <c r="G25" s="352"/>
      <c r="M25" s="324"/>
    </row>
    <row r="26" spans="1:14" ht="31.5">
      <c r="A26" s="342" t="s">
        <v>23</v>
      </c>
      <c r="B26" s="343"/>
      <c r="C26" s="343"/>
      <c r="D26" s="104"/>
      <c r="E26" s="344" t="s">
        <v>521</v>
      </c>
      <c r="F26" s="345"/>
      <c r="G26" s="346"/>
      <c r="H26" s="346"/>
      <c r="I26" s="346"/>
      <c r="J26" s="346"/>
      <c r="K26" s="346"/>
      <c r="L26" s="346"/>
      <c r="M26" s="346"/>
      <c r="N26" s="346"/>
    </row>
    <row r="27" spans="1:14" ht="15.75">
      <c r="A27" s="342" t="s">
        <v>28</v>
      </c>
      <c r="B27" s="343"/>
      <c r="C27" s="343"/>
      <c r="D27" s="104"/>
      <c r="E27" s="344"/>
      <c r="F27" s="345"/>
      <c r="G27" s="346"/>
      <c r="H27" s="346"/>
      <c r="I27" s="346"/>
      <c r="J27" s="346"/>
      <c r="K27" s="346"/>
      <c r="L27" s="346"/>
      <c r="M27" s="346"/>
      <c r="N27" s="346"/>
    </row>
    <row r="28" spans="1:16" ht="15.75">
      <c r="A28" s="342" t="s">
        <v>30</v>
      </c>
      <c r="B28" s="330"/>
      <c r="C28" s="330"/>
      <c r="D28" s="105"/>
      <c r="E28" s="344"/>
      <c r="F28" s="347"/>
      <c r="K28" s="351"/>
      <c r="L28" s="325"/>
      <c r="N28" s="351"/>
      <c r="O28" s="351"/>
      <c r="P28" s="351"/>
    </row>
    <row r="29" spans="1:16" ht="15.75">
      <c r="A29" s="348" t="s">
        <v>32</v>
      </c>
      <c r="B29" s="330"/>
      <c r="C29" s="330"/>
      <c r="D29" s="330"/>
      <c r="F29" s="325"/>
      <c r="K29" s="351"/>
      <c r="L29" s="325"/>
      <c r="N29" s="351"/>
      <c r="O29" s="351"/>
      <c r="P29" s="351"/>
    </row>
    <row r="30" spans="7:15" ht="15.75">
      <c r="G30" s="18"/>
      <c r="H30" s="18"/>
      <c r="I30" s="18"/>
      <c r="J30" s="18"/>
      <c r="K30" s="325"/>
      <c r="L30" s="325"/>
      <c r="M30" s="18"/>
      <c r="N30" s="18"/>
      <c r="O30" s="48"/>
    </row>
    <row r="31" spans="7:15" ht="15.75">
      <c r="G31" s="18"/>
      <c r="H31" s="18"/>
      <c r="I31" s="18"/>
      <c r="J31" s="18"/>
      <c r="K31" s="325"/>
      <c r="L31" s="325"/>
      <c r="M31" s="18"/>
      <c r="N31" s="18"/>
      <c r="O31" s="48"/>
    </row>
    <row r="32" spans="7:15" ht="15.75">
      <c r="G32" s="48"/>
      <c r="H32" s="48"/>
      <c r="I32" s="48"/>
      <c r="J32" s="48"/>
      <c r="K32" s="325"/>
      <c r="L32" s="325"/>
      <c r="M32" s="18"/>
      <c r="N32" s="18"/>
      <c r="O32" s="48"/>
    </row>
    <row r="33" spans="7:15" ht="15.75">
      <c r="G33" s="18"/>
      <c r="H33" s="18"/>
      <c r="I33" s="18"/>
      <c r="J33" s="18"/>
      <c r="K33" s="325"/>
      <c r="L33" s="325"/>
      <c r="M33" s="18"/>
      <c r="N33" s="18"/>
      <c r="O33" s="48"/>
    </row>
    <row r="34" spans="7:15" ht="15.75">
      <c r="G34" s="48"/>
      <c r="H34" s="48"/>
      <c r="I34" s="48"/>
      <c r="J34" s="48"/>
      <c r="K34" s="325"/>
      <c r="L34" s="325"/>
      <c r="M34" s="18"/>
      <c r="N34" s="18"/>
      <c r="O34" s="48"/>
    </row>
    <row r="35" spans="7:15" ht="15.75">
      <c r="G35" s="18"/>
      <c r="H35" s="18"/>
      <c r="I35" s="18"/>
      <c r="J35" s="18"/>
      <c r="K35" s="325"/>
      <c r="L35" s="325"/>
      <c r="M35" s="18"/>
      <c r="N35" s="18"/>
      <c r="O35" s="48"/>
    </row>
    <row r="36" spans="7:15" ht="15.75">
      <c r="G36" s="18"/>
      <c r="H36" s="18"/>
      <c r="I36" s="18"/>
      <c r="J36" s="18"/>
      <c r="K36" s="325"/>
      <c r="L36" s="325"/>
      <c r="M36" s="18"/>
      <c r="N36" s="18"/>
      <c r="O36" s="48"/>
    </row>
    <row r="37" spans="7:15" ht="15.75">
      <c r="G37" s="18"/>
      <c r="H37" s="18"/>
      <c r="I37" s="18"/>
      <c r="J37" s="18"/>
      <c r="K37" s="18"/>
      <c r="L37" s="18"/>
      <c r="M37" s="18"/>
      <c r="N37" s="18"/>
      <c r="O37" s="18"/>
    </row>
    <row r="38" spans="7:15" ht="15.75">
      <c r="G38" s="18"/>
      <c r="H38" s="18"/>
      <c r="I38" s="18"/>
      <c r="J38" s="18"/>
      <c r="K38" s="325"/>
      <c r="L38" s="325"/>
      <c r="M38" s="18"/>
      <c r="N38" s="18"/>
      <c r="O38" s="18"/>
    </row>
    <row r="39" spans="7:15" ht="15.75">
      <c r="G39" s="18"/>
      <c r="H39" s="18"/>
      <c r="I39" s="18"/>
      <c r="J39" s="18"/>
      <c r="K39" s="325"/>
      <c r="L39" s="325"/>
      <c r="M39" s="18"/>
      <c r="N39" s="18"/>
      <c r="O39" s="18"/>
    </row>
    <row r="40" spans="7:15" ht="15.75">
      <c r="G40" s="48"/>
      <c r="H40" s="48"/>
      <c r="I40" s="48"/>
      <c r="J40" s="48"/>
      <c r="K40" s="325"/>
      <c r="L40" s="325"/>
      <c r="M40" s="18"/>
      <c r="N40" s="18"/>
      <c r="O40" s="18"/>
    </row>
    <row r="41" spans="7:15" ht="15.75">
      <c r="G41" s="18"/>
      <c r="H41" s="18"/>
      <c r="I41" s="18"/>
      <c r="J41" s="18"/>
      <c r="K41" s="325"/>
      <c r="L41" s="325"/>
      <c r="M41" s="18"/>
      <c r="N41" s="18"/>
      <c r="O41" s="18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zoomScale="120" zoomScaleNormal="120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" sqref="I5"/>
    </sheetView>
  </sheetViews>
  <sheetFormatPr defaultColWidth="11.57421875" defaultRowHeight="12.75"/>
  <cols>
    <col min="1" max="1" width="13.00390625" style="51" customWidth="1"/>
    <col min="2" max="2" width="19.00390625" style="53" customWidth="1"/>
    <col min="3" max="3" width="14.28125" style="53" bestFit="1" customWidth="1"/>
    <col min="4" max="4" width="36.00390625" style="53" bestFit="1" customWidth="1"/>
    <col min="5" max="5" width="18.28125" style="53" bestFit="1" customWidth="1"/>
    <col min="6" max="6" width="26.28125" style="86" customWidth="1"/>
    <col min="7" max="7" width="33.00390625" style="53" bestFit="1" customWidth="1"/>
    <col min="8" max="8" width="24.8515625" style="53" bestFit="1" customWidth="1"/>
    <col min="9" max="9" width="38.421875" style="45" bestFit="1" customWidth="1"/>
    <col min="10" max="10" width="11.57421875" style="51" customWidth="1"/>
    <col min="11" max="11" width="21.00390625" style="51" customWidth="1"/>
    <col min="12" max="16" width="11.57421875" style="53" customWidth="1"/>
    <col min="17" max="17" width="20.140625" style="53" bestFit="1" customWidth="1"/>
    <col min="18" max="16384" width="11.57421875" style="53" customWidth="1"/>
  </cols>
  <sheetData>
    <row r="2" spans="2:11" ht="18.75">
      <c r="B2" s="534" t="s">
        <v>149</v>
      </c>
      <c r="C2" s="534"/>
      <c r="E2" s="84"/>
      <c r="F2" s="87"/>
      <c r="G2" s="84"/>
      <c r="H2" s="84"/>
      <c r="J2" s="85"/>
      <c r="K2" s="85"/>
    </row>
    <row r="3" spans="1:11" s="45" customFormat="1" ht="15.75">
      <c r="A3" s="66"/>
      <c r="F3" s="88"/>
      <c r="J3" s="66"/>
      <c r="K3" s="66"/>
    </row>
    <row r="4" spans="1:14" s="81" customFormat="1" ht="31.5">
      <c r="A4" s="77"/>
      <c r="B4" s="78" t="s">
        <v>58</v>
      </c>
      <c r="C4" s="78" t="s">
        <v>59</v>
      </c>
      <c r="D4" s="64" t="s">
        <v>61</v>
      </c>
      <c r="E4" s="64" t="s">
        <v>62</v>
      </c>
      <c r="F4" s="89" t="s">
        <v>83</v>
      </c>
      <c r="G4" s="64" t="s">
        <v>47</v>
      </c>
      <c r="H4" s="303" t="s">
        <v>85</v>
      </c>
      <c r="I4" s="303" t="s">
        <v>61</v>
      </c>
      <c r="J4" s="79" t="s">
        <v>84</v>
      </c>
      <c r="K4" s="80" t="s">
        <v>60</v>
      </c>
      <c r="N4" s="43"/>
    </row>
    <row r="5" spans="1:11" s="45" customFormat="1" ht="31.5">
      <c r="A5" s="82">
        <v>1</v>
      </c>
      <c r="B5" s="192" t="s">
        <v>177</v>
      </c>
      <c r="C5" s="193" t="s">
        <v>178</v>
      </c>
      <c r="D5" s="498" t="s">
        <v>179</v>
      </c>
      <c r="E5" s="60" t="s">
        <v>180</v>
      </c>
      <c r="F5" s="41" t="s">
        <v>185</v>
      </c>
      <c r="G5" s="301" t="s">
        <v>343</v>
      </c>
      <c r="H5" s="105" t="s">
        <v>355</v>
      </c>
      <c r="I5" s="499" t="s">
        <v>570</v>
      </c>
      <c r="J5" s="41" t="s">
        <v>356</v>
      </c>
      <c r="K5" s="41" t="s">
        <v>451</v>
      </c>
    </row>
    <row r="6" spans="1:17" s="45" customFormat="1" ht="31.5">
      <c r="A6" s="82">
        <v>2</v>
      </c>
      <c r="B6" s="192" t="s">
        <v>200</v>
      </c>
      <c r="C6" s="192" t="s">
        <v>201</v>
      </c>
      <c r="D6" s="191" t="s">
        <v>202</v>
      </c>
      <c r="E6" s="75" t="s">
        <v>203</v>
      </c>
      <c r="F6" s="41" t="s">
        <v>206</v>
      </c>
      <c r="G6" s="40" t="s">
        <v>379</v>
      </c>
      <c r="H6" s="40" t="s">
        <v>364</v>
      </c>
      <c r="I6" s="46" t="s">
        <v>365</v>
      </c>
      <c r="J6" s="56" t="s">
        <v>356</v>
      </c>
      <c r="K6" s="41" t="s">
        <v>451</v>
      </c>
      <c r="N6" s="83"/>
      <c r="O6" s="83"/>
      <c r="P6" s="83"/>
      <c r="Q6" s="83"/>
    </row>
    <row r="7" spans="1:17" s="45" customFormat="1" ht="31.5">
      <c r="A7" s="82">
        <v>3</v>
      </c>
      <c r="B7" s="192" t="s">
        <v>212</v>
      </c>
      <c r="C7" s="192" t="s">
        <v>213</v>
      </c>
      <c r="D7" s="192" t="s">
        <v>214</v>
      </c>
      <c r="E7" s="60" t="s">
        <v>215</v>
      </c>
      <c r="F7" s="41" t="s">
        <v>207</v>
      </c>
      <c r="G7" s="88" t="s">
        <v>363</v>
      </c>
      <c r="H7" s="105" t="s">
        <v>357</v>
      </c>
      <c r="I7" s="105" t="s">
        <v>358</v>
      </c>
      <c r="J7" s="56" t="s">
        <v>356</v>
      </c>
      <c r="K7" s="56" t="s">
        <v>450</v>
      </c>
      <c r="M7" s="44"/>
      <c r="N7" s="83"/>
      <c r="O7" s="83"/>
      <c r="P7" s="83"/>
      <c r="Q7" s="83"/>
    </row>
    <row r="8" spans="1:11" s="45" customFormat="1" ht="31.5">
      <c r="A8" s="82">
        <v>4</v>
      </c>
      <c r="B8" s="192" t="s">
        <v>181</v>
      </c>
      <c r="C8" s="192" t="s">
        <v>182</v>
      </c>
      <c r="D8" s="191" t="s">
        <v>183</v>
      </c>
      <c r="E8" s="75" t="s">
        <v>184</v>
      </c>
      <c r="F8" s="41" t="s">
        <v>185</v>
      </c>
      <c r="G8" s="302" t="s">
        <v>176</v>
      </c>
      <c r="H8" s="105" t="s">
        <v>359</v>
      </c>
      <c r="I8" s="105" t="s">
        <v>360</v>
      </c>
      <c r="J8" s="56" t="s">
        <v>356</v>
      </c>
      <c r="K8" s="56" t="s">
        <v>450</v>
      </c>
    </row>
    <row r="9" spans="1:11" s="45" customFormat="1" ht="31.5">
      <c r="A9" s="82">
        <v>5</v>
      </c>
      <c r="B9" s="192" t="s">
        <v>192</v>
      </c>
      <c r="C9" s="192" t="s">
        <v>193</v>
      </c>
      <c r="D9" s="210" t="s">
        <v>194</v>
      </c>
      <c r="E9" s="75" t="s">
        <v>195</v>
      </c>
      <c r="F9" s="41" t="s">
        <v>204</v>
      </c>
      <c r="G9" s="104" t="s">
        <v>278</v>
      </c>
      <c r="H9" s="42" t="s">
        <v>366</v>
      </c>
      <c r="I9" s="65" t="s">
        <v>367</v>
      </c>
      <c r="J9" s="56" t="s">
        <v>356</v>
      </c>
      <c r="K9" s="41" t="s">
        <v>449</v>
      </c>
    </row>
    <row r="10" spans="1:13" s="45" customFormat="1" ht="31.5">
      <c r="A10" s="82">
        <v>6</v>
      </c>
      <c r="B10" s="192" t="s">
        <v>196</v>
      </c>
      <c r="C10" s="192" t="s">
        <v>197</v>
      </c>
      <c r="D10" s="210" t="s">
        <v>198</v>
      </c>
      <c r="E10" s="61" t="s">
        <v>199</v>
      </c>
      <c r="F10" s="41" t="s">
        <v>205</v>
      </c>
      <c r="G10" s="104" t="s">
        <v>278</v>
      </c>
      <c r="H10" s="104" t="s">
        <v>368</v>
      </c>
      <c r="I10" s="105" t="s">
        <v>369</v>
      </c>
      <c r="J10" s="56" t="s">
        <v>356</v>
      </c>
      <c r="K10" s="41" t="s">
        <v>449</v>
      </c>
      <c r="M10" s="81"/>
    </row>
    <row r="11" spans="1:17" s="45" customFormat="1" ht="25.5">
      <c r="A11" s="82">
        <v>7</v>
      </c>
      <c r="B11" s="192" t="s">
        <v>209</v>
      </c>
      <c r="C11" s="192" t="s">
        <v>416</v>
      </c>
      <c r="D11" s="191" t="s">
        <v>210</v>
      </c>
      <c r="E11" s="298" t="s">
        <v>211</v>
      </c>
      <c r="F11" s="296" t="s">
        <v>220</v>
      </c>
      <c r="G11" s="42" t="s">
        <v>341</v>
      </c>
      <c r="H11" s="40" t="s">
        <v>380</v>
      </c>
      <c r="I11" s="46" t="s">
        <v>381</v>
      </c>
      <c r="J11" s="56" t="s">
        <v>356</v>
      </c>
      <c r="K11" s="41" t="s">
        <v>448</v>
      </c>
      <c r="N11" s="83"/>
      <c r="O11" s="83"/>
      <c r="P11" s="83"/>
      <c r="Q11" s="83"/>
    </row>
    <row r="12" spans="1:11" s="45" customFormat="1" ht="38.25">
      <c r="A12" s="299" t="s">
        <v>383</v>
      </c>
      <c r="B12" s="297" t="s">
        <v>276</v>
      </c>
      <c r="C12" s="300" t="s">
        <v>398</v>
      </c>
      <c r="D12" s="320" t="s">
        <v>397</v>
      </c>
      <c r="E12" s="75" t="s">
        <v>425</v>
      </c>
      <c r="F12" s="296" t="s">
        <v>277</v>
      </c>
      <c r="G12" s="40"/>
      <c r="H12" s="42"/>
      <c r="I12" s="65"/>
      <c r="J12" s="56"/>
      <c r="K12" s="41" t="s">
        <v>342</v>
      </c>
    </row>
    <row r="13" spans="1:11" s="45" customFormat="1" ht="25.5">
      <c r="A13" s="82">
        <v>9</v>
      </c>
      <c r="B13" s="211" t="s">
        <v>216</v>
      </c>
      <c r="C13" s="212" t="s">
        <v>217</v>
      </c>
      <c r="D13" s="464" t="s">
        <v>218</v>
      </c>
      <c r="E13" s="298" t="s">
        <v>219</v>
      </c>
      <c r="F13" s="296" t="s">
        <v>208</v>
      </c>
      <c r="G13" s="40"/>
      <c r="H13" s="42"/>
      <c r="I13" s="65"/>
      <c r="J13" s="106"/>
      <c r="K13" s="41"/>
    </row>
    <row r="14" spans="1:11" s="45" customFormat="1" ht="15.75">
      <c r="A14" s="82">
        <v>10</v>
      </c>
      <c r="B14" s="42"/>
      <c r="C14" s="42"/>
      <c r="D14" s="65"/>
      <c r="E14" s="75"/>
      <c r="F14" s="41"/>
      <c r="G14" s="40"/>
      <c r="H14" s="42"/>
      <c r="I14" s="65"/>
      <c r="J14" s="56"/>
      <c r="K14" s="41"/>
    </row>
    <row r="15" spans="1:11" s="45" customFormat="1" ht="15.75">
      <c r="A15" s="82">
        <v>11</v>
      </c>
      <c r="B15" s="42"/>
      <c r="C15" s="42"/>
      <c r="D15" s="65"/>
      <c r="E15" s="75"/>
      <c r="F15" s="41"/>
      <c r="G15" s="40"/>
      <c r="H15" s="42"/>
      <c r="I15" s="65"/>
      <c r="J15" s="56"/>
      <c r="K15" s="41"/>
    </row>
    <row r="16" spans="1:17" s="45" customFormat="1" ht="15.75">
      <c r="A16" s="82">
        <v>13</v>
      </c>
      <c r="B16" s="42"/>
      <c r="C16" s="42"/>
      <c r="D16" s="65"/>
      <c r="E16" s="60"/>
      <c r="F16" s="41"/>
      <c r="G16" s="40"/>
      <c r="H16" s="40"/>
      <c r="I16" s="46"/>
      <c r="J16" s="56"/>
      <c r="K16" s="41"/>
      <c r="N16" s="83"/>
      <c r="O16" s="83"/>
      <c r="P16" s="83"/>
      <c r="Q16" s="83"/>
    </row>
    <row r="17" spans="1:16" s="45" customFormat="1" ht="15.75">
      <c r="A17" s="82">
        <v>14</v>
      </c>
      <c r="B17" s="42"/>
      <c r="C17" s="42"/>
      <c r="D17" s="65"/>
      <c r="E17" s="60"/>
      <c r="F17" s="41"/>
      <c r="G17" s="40"/>
      <c r="H17" s="40"/>
      <c r="I17" s="46"/>
      <c r="J17" s="56"/>
      <c r="K17" s="41"/>
      <c r="O17" s="83"/>
      <c r="P17" s="83"/>
    </row>
    <row r="18" spans="1:16" s="45" customFormat="1" ht="15.75">
      <c r="A18" s="82">
        <v>15</v>
      </c>
      <c r="B18" s="42"/>
      <c r="C18" s="42"/>
      <c r="D18" s="65"/>
      <c r="E18" s="60"/>
      <c r="F18" s="41"/>
      <c r="G18" s="40"/>
      <c r="H18" s="40"/>
      <c r="I18" s="46"/>
      <c r="J18" s="56"/>
      <c r="K18" s="41"/>
      <c r="O18" s="83"/>
      <c r="P18" s="83"/>
    </row>
    <row r="19" spans="1:11" ht="15.75">
      <c r="A19" s="82">
        <v>16</v>
      </c>
      <c r="B19" s="42"/>
      <c r="C19" s="42"/>
      <c r="D19" s="65"/>
      <c r="E19" s="60"/>
      <c r="F19" s="41"/>
      <c r="G19" s="40"/>
      <c r="H19" s="40"/>
      <c r="I19" s="46"/>
      <c r="J19" s="56"/>
      <c r="K19" s="41"/>
    </row>
    <row r="21" spans="8:11" ht="15.75">
      <c r="H21" s="51"/>
      <c r="I21" s="66"/>
      <c r="K21" s="52"/>
    </row>
    <row r="22" spans="7:11" ht="15.75">
      <c r="G22" s="51"/>
      <c r="H22" s="51"/>
      <c r="I22" s="66"/>
      <c r="K22" s="52"/>
    </row>
    <row r="23" spans="7:11" ht="15.75">
      <c r="G23" s="51"/>
      <c r="H23" s="51"/>
      <c r="I23" s="66"/>
      <c r="K23" s="52"/>
    </row>
    <row r="24" spans="7:11" ht="15.75">
      <c r="G24" s="51"/>
      <c r="H24" s="51"/>
      <c r="I24" s="66"/>
      <c r="K24" s="52"/>
    </row>
    <row r="25" spans="7:11" ht="15.75">
      <c r="G25" s="51"/>
      <c r="H25" s="51"/>
      <c r="I25" s="66"/>
      <c r="K25" s="52"/>
    </row>
    <row r="26" spans="7:11" ht="15.75">
      <c r="G26" s="51"/>
      <c r="H26" s="51"/>
      <c r="I26" s="66"/>
      <c r="K26" s="52"/>
    </row>
    <row r="27" spans="7:11" ht="15.75">
      <c r="G27" s="51"/>
      <c r="H27" s="51"/>
      <c r="I27" s="66"/>
      <c r="K27" s="52"/>
    </row>
    <row r="28" spans="7:11" ht="15.75">
      <c r="G28" s="51"/>
      <c r="H28" s="51"/>
      <c r="I28" s="66"/>
      <c r="K28" s="52"/>
    </row>
  </sheetData>
  <sheetProtection/>
  <mergeCells count="1">
    <mergeCell ref="B2:C2"/>
  </mergeCells>
  <hyperlinks>
    <hyperlink ref="D8" r:id="rId1" display="souhela.kbs@gmail.com"/>
    <hyperlink ref="D6" r:id="rId2" display="agathe.delcommune@gmail.com"/>
    <hyperlink ref="D12" r:id="rId3" display="marame.cobar@gmail.com"/>
    <hyperlink ref="I6" r:id="rId4" display="christophe.crevet@ecolab.com"/>
    <hyperlink ref="I11" r:id="rId5" display="hugues.bruchet@cea.fr"/>
    <hyperlink ref="D13" r:id="rId6" display="celiolhelgoualch@hotmail.fr"/>
    <hyperlink ref="D5" r:id="rId7" display="victoria.barre232@icloud.com"/>
    <hyperlink ref="I5" r:id="rId8" display="achomaud@groupecarso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N9" sqref="N9:Q9"/>
    </sheetView>
  </sheetViews>
  <sheetFormatPr defaultColWidth="11.421875" defaultRowHeight="12.75"/>
  <cols>
    <col min="1" max="1" width="11.57421875" style="387" customWidth="1"/>
    <col min="2" max="2" width="11.421875" style="18" customWidth="1"/>
    <col min="3" max="12" width="10.00390625" style="18" customWidth="1"/>
    <col min="13" max="13" width="10.00390625" style="69" customWidth="1"/>
    <col min="14" max="22" width="10.00390625" style="18" customWidth="1"/>
    <col min="23" max="16384" width="11.421875" style="18" customWidth="1"/>
  </cols>
  <sheetData>
    <row r="1" spans="1:13" s="48" customFormat="1" ht="18">
      <c r="A1" s="387"/>
      <c r="B1" s="63" t="s">
        <v>189</v>
      </c>
      <c r="M1" s="70"/>
    </row>
    <row r="2" ht="12.75">
      <c r="A2" s="387">
        <v>35</v>
      </c>
    </row>
    <row r="3" spans="1:22" s="4" customFormat="1" ht="25.5">
      <c r="A3" s="6">
        <f>SUM(A5:A14)</f>
        <v>29.32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190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  <c r="S3" s="4" t="s">
        <v>33</v>
      </c>
      <c r="T3" s="4" t="s">
        <v>34</v>
      </c>
      <c r="U3" s="4" t="s">
        <v>35</v>
      </c>
      <c r="V3" s="4" t="s">
        <v>36</v>
      </c>
    </row>
    <row r="4" spans="1:22" s="5" customFormat="1" ht="13.5" thickBot="1">
      <c r="A4" s="392" t="s">
        <v>456</v>
      </c>
      <c r="C4" s="6"/>
      <c r="D4" s="6"/>
      <c r="E4" s="6"/>
      <c r="F4" s="6"/>
      <c r="G4" s="6"/>
      <c r="H4" s="6"/>
      <c r="I4" s="6"/>
      <c r="J4" s="6"/>
      <c r="K4" s="6"/>
      <c r="L4" s="6"/>
      <c r="M4" s="49"/>
      <c r="N4" s="6"/>
      <c r="O4" s="6"/>
      <c r="P4" s="6"/>
      <c r="Q4" s="6"/>
      <c r="R4" s="6"/>
      <c r="S4" s="6"/>
      <c r="T4" s="6"/>
      <c r="U4" s="6"/>
      <c r="V4" s="6"/>
    </row>
    <row r="5" spans="1:22" s="8" customFormat="1" ht="42" customHeight="1" thickBot="1">
      <c r="A5" s="15">
        <f>1.33+1.5</f>
        <v>2.83</v>
      </c>
      <c r="B5" s="67" t="s">
        <v>37</v>
      </c>
      <c r="C5" s="101"/>
      <c r="D5" s="562" t="s">
        <v>371</v>
      </c>
      <c r="E5" s="563"/>
      <c r="F5" s="564"/>
      <c r="G5" s="259"/>
      <c r="H5" s="555" t="s">
        <v>344</v>
      </c>
      <c r="I5" s="555"/>
      <c r="J5" s="556"/>
      <c r="K5" s="99"/>
      <c r="L5" s="181"/>
      <c r="M5" s="182"/>
      <c r="N5" s="557" t="s">
        <v>279</v>
      </c>
      <c r="O5" s="558"/>
      <c r="P5" s="559"/>
      <c r="Q5" s="57"/>
      <c r="R5" s="101"/>
      <c r="S5" s="57"/>
      <c r="T5" s="57"/>
      <c r="U5" s="57"/>
      <c r="V5" s="58"/>
    </row>
    <row r="6" spans="1:22" s="8" customFormat="1" ht="13.5" thickBot="1">
      <c r="A6" s="15"/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71"/>
      <c r="N6" s="10"/>
      <c r="O6" s="10"/>
      <c r="P6" s="10"/>
      <c r="Q6" s="10"/>
      <c r="R6" s="10"/>
      <c r="S6" s="10"/>
      <c r="T6" s="10"/>
      <c r="U6" s="10"/>
      <c r="V6" s="10"/>
    </row>
    <row r="7" spans="1:22" s="8" customFormat="1" ht="34.5" customHeight="1" thickBot="1">
      <c r="A7" s="15">
        <f>2*2+2</f>
        <v>6</v>
      </c>
      <c r="B7" s="62" t="s">
        <v>38</v>
      </c>
      <c r="C7" s="561" t="s">
        <v>280</v>
      </c>
      <c r="D7" s="541"/>
      <c r="E7" s="541"/>
      <c r="F7" s="542"/>
      <c r="G7" s="540" t="s">
        <v>281</v>
      </c>
      <c r="H7" s="541"/>
      <c r="I7" s="541"/>
      <c r="J7" s="541"/>
      <c r="K7" s="542"/>
      <c r="L7" s="181"/>
      <c r="M7" s="182"/>
      <c r="N7" s="540" t="s">
        <v>333</v>
      </c>
      <c r="O7" s="541"/>
      <c r="P7" s="541"/>
      <c r="Q7" s="542"/>
      <c r="R7" s="101"/>
      <c r="S7" s="57"/>
      <c r="T7" s="57"/>
      <c r="U7" s="57"/>
      <c r="V7" s="58"/>
    </row>
    <row r="8" spans="1:22" s="8" customFormat="1" ht="13.5" thickBot="1">
      <c r="A8" s="15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s="8" customFormat="1" ht="42" customHeight="1" thickBot="1">
      <c r="A9" s="15">
        <f>1.33+2*1.5+2+2</f>
        <v>8.33</v>
      </c>
      <c r="B9" s="67" t="s">
        <v>39</v>
      </c>
      <c r="C9" s="560" t="s">
        <v>282</v>
      </c>
      <c r="D9" s="555"/>
      <c r="E9" s="556"/>
      <c r="F9" s="557" t="s">
        <v>283</v>
      </c>
      <c r="G9" s="558"/>
      <c r="H9" s="559"/>
      <c r="I9" s="546" t="s">
        <v>284</v>
      </c>
      <c r="J9" s="547"/>
      <c r="K9" s="548"/>
      <c r="L9" s="181"/>
      <c r="M9" s="182"/>
      <c r="N9" s="549" t="s">
        <v>345</v>
      </c>
      <c r="O9" s="550"/>
      <c r="P9" s="550"/>
      <c r="Q9" s="551"/>
      <c r="R9" s="537" t="s">
        <v>372</v>
      </c>
      <c r="S9" s="538"/>
      <c r="T9" s="538"/>
      <c r="U9" s="539"/>
      <c r="V9" s="58"/>
    </row>
    <row r="10" spans="1:22" s="8" customFormat="1" ht="12.75">
      <c r="A10" s="15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221" t="s">
        <v>224</v>
      </c>
      <c r="O10" s="10"/>
      <c r="P10" s="10"/>
      <c r="Q10" s="10"/>
      <c r="R10" s="10"/>
      <c r="S10" s="10"/>
      <c r="T10" s="10"/>
      <c r="U10" s="10"/>
      <c r="V10" s="10"/>
    </row>
    <row r="11" spans="1:22" s="8" customFormat="1" ht="13.5" thickBot="1">
      <c r="A11" s="15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221"/>
      <c r="O11" s="10"/>
      <c r="P11" s="10"/>
      <c r="Q11" s="10"/>
      <c r="R11" s="10"/>
      <c r="S11" s="10"/>
      <c r="T11" s="10"/>
      <c r="U11" s="10"/>
      <c r="V11" s="10"/>
    </row>
    <row r="12" spans="1:22" s="8" customFormat="1" ht="42" customHeight="1" thickBot="1">
      <c r="A12" s="15">
        <f>2+2+1.33+1.5</f>
        <v>6.83</v>
      </c>
      <c r="B12" s="62" t="s">
        <v>40</v>
      </c>
      <c r="C12" s="543" t="s">
        <v>285</v>
      </c>
      <c r="D12" s="544"/>
      <c r="E12" s="544"/>
      <c r="F12" s="545"/>
      <c r="G12" s="546" t="s">
        <v>286</v>
      </c>
      <c r="H12" s="547"/>
      <c r="I12" s="547"/>
      <c r="J12" s="547"/>
      <c r="K12" s="548"/>
      <c r="L12" s="181"/>
      <c r="M12" s="182"/>
      <c r="N12" s="554" t="s">
        <v>386</v>
      </c>
      <c r="O12" s="555"/>
      <c r="P12" s="556"/>
      <c r="Q12" s="557" t="s">
        <v>387</v>
      </c>
      <c r="R12" s="558"/>
      <c r="S12" s="559"/>
      <c r="T12" s="552" t="s">
        <v>373</v>
      </c>
      <c r="U12" s="553"/>
      <c r="V12" s="58"/>
    </row>
    <row r="13" spans="1:22" s="8" customFormat="1" ht="13.5" thickBot="1">
      <c r="A13" s="9"/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8" customFormat="1" ht="81" customHeight="1" thickBot="1">
      <c r="A14" s="15">
        <f>2+1.33+2</f>
        <v>5.33</v>
      </c>
      <c r="B14" s="67" t="s">
        <v>41</v>
      </c>
      <c r="C14" s="306"/>
      <c r="D14" s="307"/>
      <c r="E14" s="557" t="s">
        <v>433</v>
      </c>
      <c r="F14" s="558"/>
      <c r="G14" s="558"/>
      <c r="H14" s="559"/>
      <c r="I14" s="535" t="s">
        <v>434</v>
      </c>
      <c r="J14" s="536"/>
      <c r="K14" s="308"/>
      <c r="L14" s="181"/>
      <c r="M14" s="182"/>
      <c r="N14" s="537" t="s">
        <v>329</v>
      </c>
      <c r="O14" s="538"/>
      <c r="P14" s="538"/>
      <c r="Q14" s="539"/>
      <c r="R14" s="57"/>
      <c r="S14" s="57"/>
      <c r="T14" s="57"/>
      <c r="U14" s="57"/>
      <c r="V14" s="58"/>
    </row>
    <row r="16" spans="1:20" s="47" customFormat="1" ht="16.5">
      <c r="A16" s="217">
        <f>A3+2.83</f>
        <v>32.15</v>
      </c>
      <c r="C16" s="565" t="s">
        <v>186</v>
      </c>
      <c r="D16" s="565"/>
      <c r="E16" s="565"/>
      <c r="F16" s="565"/>
      <c r="G16" s="565"/>
      <c r="H16" s="565"/>
      <c r="I16" s="565"/>
      <c r="J16" s="565"/>
      <c r="K16" s="92"/>
      <c r="L16" s="565" t="s">
        <v>187</v>
      </c>
      <c r="M16" s="565"/>
      <c r="N16" s="565"/>
      <c r="O16" s="565"/>
      <c r="P16" s="565"/>
      <c r="Q16" s="565"/>
      <c r="R16" s="565"/>
      <c r="S16" s="565"/>
      <c r="T16" s="93"/>
    </row>
    <row r="17" spans="1:20" ht="13.5" thickBot="1">
      <c r="A17" s="217" t="s">
        <v>459</v>
      </c>
      <c r="C17" s="54"/>
      <c r="D17" s="59" t="s">
        <v>91</v>
      </c>
      <c r="E17" s="54"/>
      <c r="F17" s="54"/>
      <c r="G17" s="54"/>
      <c r="H17" s="54"/>
      <c r="I17" s="54"/>
      <c r="J17" s="54"/>
      <c r="K17" s="92"/>
      <c r="L17" s="54"/>
      <c r="M17" s="59" t="s">
        <v>91</v>
      </c>
      <c r="N17" s="54"/>
      <c r="O17" s="54"/>
      <c r="P17" s="54"/>
      <c r="Q17" s="54"/>
      <c r="R17" s="54"/>
      <c r="S17" s="54"/>
      <c r="T17" s="54"/>
    </row>
    <row r="18" spans="3:20" ht="31.5" customHeight="1" thickBot="1">
      <c r="C18" s="54"/>
      <c r="D18" s="570" t="s">
        <v>45</v>
      </c>
      <c r="E18" s="571"/>
      <c r="F18" s="572" t="s">
        <v>46</v>
      </c>
      <c r="G18" s="571"/>
      <c r="H18" s="573" t="s">
        <v>47</v>
      </c>
      <c r="I18" s="573"/>
      <c r="J18" s="574"/>
      <c r="K18" s="91"/>
      <c r="L18" s="54"/>
      <c r="M18" s="586" t="s">
        <v>45</v>
      </c>
      <c r="N18" s="587"/>
      <c r="O18" s="592" t="s">
        <v>46</v>
      </c>
      <c r="P18" s="587"/>
      <c r="Q18" s="612" t="s">
        <v>47</v>
      </c>
      <c r="R18" s="612"/>
      <c r="S18" s="613"/>
      <c r="T18" s="91"/>
    </row>
    <row r="19" spans="3:20" ht="15" customHeight="1">
      <c r="C19" s="54"/>
      <c r="D19" s="584" t="s">
        <v>19</v>
      </c>
      <c r="E19" s="585"/>
      <c r="F19" s="566" t="s">
        <v>150</v>
      </c>
      <c r="G19" s="566"/>
      <c r="H19" s="567" t="s">
        <v>151</v>
      </c>
      <c r="I19" s="568"/>
      <c r="J19" s="569"/>
      <c r="K19" s="90"/>
      <c r="L19" s="54"/>
      <c r="M19" s="584" t="s">
        <v>19</v>
      </c>
      <c r="N19" s="585"/>
      <c r="O19" s="566" t="s">
        <v>160</v>
      </c>
      <c r="P19" s="566"/>
      <c r="Q19" s="568" t="s">
        <v>165</v>
      </c>
      <c r="R19" s="568"/>
      <c r="S19" s="569"/>
      <c r="T19" s="90"/>
    </row>
    <row r="20" spans="3:20" ht="15" customHeight="1">
      <c r="C20" s="54"/>
      <c r="D20" s="593" t="s">
        <v>21</v>
      </c>
      <c r="E20" s="594"/>
      <c r="F20" s="591" t="s">
        <v>155</v>
      </c>
      <c r="G20" s="591"/>
      <c r="H20" s="595" t="s">
        <v>156</v>
      </c>
      <c r="I20" s="596"/>
      <c r="J20" s="597"/>
      <c r="K20" s="90"/>
      <c r="L20" s="54"/>
      <c r="M20" s="593" t="s">
        <v>21</v>
      </c>
      <c r="N20" s="594"/>
      <c r="O20" s="598" t="s">
        <v>161</v>
      </c>
      <c r="P20" s="598"/>
      <c r="Q20" s="596" t="s">
        <v>166</v>
      </c>
      <c r="R20" s="596"/>
      <c r="S20" s="597"/>
      <c r="T20" s="90"/>
    </row>
    <row r="21" spans="3:20" ht="16.5" thickBot="1">
      <c r="C21" s="54"/>
      <c r="D21" s="604" t="s">
        <v>23</v>
      </c>
      <c r="E21" s="605"/>
      <c r="F21" s="619" t="s">
        <v>152</v>
      </c>
      <c r="G21" s="619"/>
      <c r="H21" s="588" t="s">
        <v>158</v>
      </c>
      <c r="I21" s="589"/>
      <c r="J21" s="590"/>
      <c r="K21" s="90"/>
      <c r="L21" s="98"/>
      <c r="M21" s="604" t="s">
        <v>23</v>
      </c>
      <c r="N21" s="605"/>
      <c r="O21" s="606" t="s">
        <v>162</v>
      </c>
      <c r="P21" s="588"/>
      <c r="Q21" s="606" t="s">
        <v>176</v>
      </c>
      <c r="R21" s="607"/>
      <c r="S21" s="608"/>
      <c r="T21" s="90"/>
    </row>
    <row r="22" spans="3:20" ht="15.75">
      <c r="C22" s="54"/>
      <c r="D22" s="599" t="s">
        <v>28</v>
      </c>
      <c r="E22" s="600"/>
      <c r="F22" s="566" t="s">
        <v>153</v>
      </c>
      <c r="G22" s="566"/>
      <c r="H22" s="602" t="s">
        <v>157</v>
      </c>
      <c r="I22" s="602"/>
      <c r="J22" s="603"/>
      <c r="K22" s="90"/>
      <c r="L22" s="98"/>
      <c r="M22" s="599" t="s">
        <v>28</v>
      </c>
      <c r="N22" s="600"/>
      <c r="O22" s="596" t="s">
        <v>163</v>
      </c>
      <c r="P22" s="596"/>
      <c r="Q22" s="596" t="s">
        <v>159</v>
      </c>
      <c r="R22" s="596"/>
      <c r="S22" s="597"/>
      <c r="T22" s="90"/>
    </row>
    <row r="23" spans="3:20" ht="15" customHeight="1">
      <c r="C23" s="188" t="s">
        <v>352</v>
      </c>
      <c r="D23" s="575" t="s">
        <v>30</v>
      </c>
      <c r="E23" s="576"/>
      <c r="F23" s="577" t="s">
        <v>154</v>
      </c>
      <c r="G23" s="577"/>
      <c r="H23" s="578" t="s">
        <v>159</v>
      </c>
      <c r="I23" s="579"/>
      <c r="J23" s="580"/>
      <c r="K23" s="90"/>
      <c r="L23" s="98"/>
      <c r="M23" s="593" t="s">
        <v>30</v>
      </c>
      <c r="N23" s="594"/>
      <c r="O23" s="601" t="s">
        <v>164</v>
      </c>
      <c r="P23" s="601"/>
      <c r="Q23" s="601" t="s">
        <v>167</v>
      </c>
      <c r="R23" s="601"/>
      <c r="S23" s="611"/>
      <c r="T23" s="90"/>
    </row>
    <row r="24" spans="3:20" ht="15.75" customHeight="1" thickBot="1">
      <c r="C24" s="54"/>
      <c r="D24" s="582" t="s">
        <v>32</v>
      </c>
      <c r="E24" s="583"/>
      <c r="F24" s="581"/>
      <c r="G24" s="581"/>
      <c r="H24" s="588"/>
      <c r="I24" s="589"/>
      <c r="J24" s="590"/>
      <c r="K24" s="90"/>
      <c r="L24" s="98"/>
      <c r="M24" s="582" t="s">
        <v>32</v>
      </c>
      <c r="N24" s="583"/>
      <c r="O24" s="609"/>
      <c r="P24" s="610"/>
      <c r="Q24" s="589"/>
      <c r="R24" s="589"/>
      <c r="S24" s="590"/>
      <c r="T24" s="90"/>
    </row>
    <row r="25" spans="3:20" ht="12.7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16" s="8" customFormat="1" ht="17.25" thickBot="1">
      <c r="A26" s="387"/>
      <c r="C26" s="565" t="s">
        <v>353</v>
      </c>
      <c r="D26" s="565"/>
      <c r="E26" s="565"/>
      <c r="F26" s="565"/>
      <c r="G26" s="565"/>
      <c r="H26" s="565"/>
      <c r="I26" s="565"/>
      <c r="J26" s="565"/>
      <c r="K26" s="565"/>
      <c r="L26" s="5"/>
      <c r="M26" s="5"/>
      <c r="N26" s="5"/>
      <c r="O26" s="5"/>
      <c r="P26" s="5"/>
    </row>
    <row r="27" spans="1:18" s="8" customFormat="1" ht="15.75" customHeight="1" thickBot="1">
      <c r="A27" s="387"/>
      <c r="C27" s="100"/>
      <c r="D27" s="570" t="s">
        <v>45</v>
      </c>
      <c r="E27" s="571"/>
      <c r="F27" s="572" t="s">
        <v>46</v>
      </c>
      <c r="G27" s="571"/>
      <c r="H27" s="573" t="s">
        <v>47</v>
      </c>
      <c r="I27" s="573"/>
      <c r="J27" s="574"/>
      <c r="K27" s="90"/>
      <c r="L27" s="18"/>
      <c r="M27" s="72"/>
      <c r="O27" s="18"/>
      <c r="P27" s="18"/>
      <c r="Q27" s="18"/>
      <c r="R27" s="18"/>
    </row>
    <row r="28" spans="3:11" ht="15.75">
      <c r="C28" s="188" t="s">
        <v>352</v>
      </c>
      <c r="D28" s="614" t="s">
        <v>19</v>
      </c>
      <c r="E28" s="615"/>
      <c r="F28" s="616" t="s">
        <v>168</v>
      </c>
      <c r="G28" s="616"/>
      <c r="H28" s="617" t="s">
        <v>167</v>
      </c>
      <c r="I28" s="617"/>
      <c r="J28" s="618"/>
      <c r="K28" s="54"/>
    </row>
    <row r="29" spans="3:11" ht="15.75" customHeight="1">
      <c r="C29" s="54"/>
      <c r="D29" s="593" t="s">
        <v>21</v>
      </c>
      <c r="E29" s="594"/>
      <c r="F29" s="598" t="s">
        <v>169</v>
      </c>
      <c r="G29" s="598"/>
      <c r="H29" s="596" t="s">
        <v>173</v>
      </c>
      <c r="I29" s="596"/>
      <c r="J29" s="597"/>
      <c r="K29" s="54"/>
    </row>
    <row r="30" spans="1:11" s="73" customFormat="1" ht="15.75" customHeight="1" thickBot="1">
      <c r="A30" s="387"/>
      <c r="C30" s="183"/>
      <c r="D30" s="604" t="s">
        <v>23</v>
      </c>
      <c r="E30" s="605"/>
      <c r="F30" s="606" t="s">
        <v>170</v>
      </c>
      <c r="G30" s="588"/>
      <c r="H30" s="620" t="s">
        <v>174</v>
      </c>
      <c r="I30" s="621"/>
      <c r="J30" s="622"/>
      <c r="K30" s="183"/>
    </row>
    <row r="31" spans="1:19" s="73" customFormat="1" ht="15.75">
      <c r="A31" s="387"/>
      <c r="C31" s="183"/>
      <c r="D31" s="599" t="s">
        <v>28</v>
      </c>
      <c r="E31" s="600"/>
      <c r="F31" s="596" t="s">
        <v>171</v>
      </c>
      <c r="G31" s="596"/>
      <c r="H31" s="623"/>
      <c r="I31" s="602"/>
      <c r="J31" s="603"/>
      <c r="K31" s="183"/>
      <c r="M31" s="96"/>
      <c r="N31" s="74"/>
      <c r="O31" s="189"/>
      <c r="P31" s="97"/>
      <c r="Q31" s="95"/>
      <c r="S31" s="76"/>
    </row>
    <row r="32" spans="1:19" s="73" customFormat="1" ht="15.75">
      <c r="A32" s="387"/>
      <c r="C32" s="183"/>
      <c r="D32" s="593" t="s">
        <v>30</v>
      </c>
      <c r="E32" s="594"/>
      <c r="F32" s="601" t="s">
        <v>172</v>
      </c>
      <c r="G32" s="601"/>
      <c r="H32" s="601" t="s">
        <v>175</v>
      </c>
      <c r="I32" s="601"/>
      <c r="J32" s="611"/>
      <c r="K32" s="183"/>
      <c r="M32" s="96"/>
      <c r="N32" s="74"/>
      <c r="O32" s="94"/>
      <c r="P32" s="94"/>
      <c r="Q32" s="95"/>
      <c r="S32" s="76"/>
    </row>
    <row r="33" spans="1:19" s="73" customFormat="1" ht="16.5" thickBot="1">
      <c r="A33" s="387"/>
      <c r="C33" s="183"/>
      <c r="D33" s="582" t="s">
        <v>32</v>
      </c>
      <c r="E33" s="583"/>
      <c r="F33" s="606"/>
      <c r="G33" s="588"/>
      <c r="H33" s="589"/>
      <c r="I33" s="589"/>
      <c r="J33" s="590"/>
      <c r="K33" s="183"/>
      <c r="M33" s="96"/>
      <c r="N33" s="74"/>
      <c r="O33" s="94"/>
      <c r="P33" s="94"/>
      <c r="Q33" s="95"/>
      <c r="S33" s="76"/>
    </row>
    <row r="34" spans="1:19" s="73" customFormat="1" ht="15.75">
      <c r="A34" s="387"/>
      <c r="C34" s="183"/>
      <c r="D34" s="183"/>
      <c r="E34" s="184"/>
      <c r="F34" s="185"/>
      <c r="G34" s="185"/>
      <c r="H34" s="186"/>
      <c r="I34" s="183"/>
      <c r="J34" s="187"/>
      <c r="K34" s="183"/>
      <c r="M34" s="96"/>
      <c r="N34" s="74"/>
      <c r="O34" s="94"/>
      <c r="P34" s="94"/>
      <c r="Q34" s="95"/>
      <c r="S34" s="76"/>
    </row>
    <row r="35" spans="1:19" s="73" customFormat="1" ht="15.75">
      <c r="A35" s="387"/>
      <c r="E35" s="74"/>
      <c r="F35" s="94"/>
      <c r="G35" s="94"/>
      <c r="H35" s="95"/>
      <c r="J35" s="76"/>
      <c r="M35" s="96"/>
      <c r="N35" s="74"/>
      <c r="O35" s="94"/>
      <c r="P35" s="94"/>
      <c r="Q35" s="95"/>
      <c r="S35" s="76"/>
    </row>
    <row r="36" ht="12.75">
      <c r="M36" s="18"/>
    </row>
    <row r="37" ht="15" customHeight="1"/>
    <row r="40" ht="13.5" customHeight="1"/>
    <row r="41" ht="13.5" customHeight="1"/>
  </sheetData>
  <sheetProtection/>
  <mergeCells count="84">
    <mergeCell ref="D33:E33"/>
    <mergeCell ref="F33:G33"/>
    <mergeCell ref="H33:J33"/>
    <mergeCell ref="F31:G31"/>
    <mergeCell ref="H30:J31"/>
    <mergeCell ref="D29:E29"/>
    <mergeCell ref="F29:G29"/>
    <mergeCell ref="H29:J29"/>
    <mergeCell ref="F30:G30"/>
    <mergeCell ref="D31:E31"/>
    <mergeCell ref="D32:E32"/>
    <mergeCell ref="F32:G32"/>
    <mergeCell ref="H32:J32"/>
    <mergeCell ref="Q18:S18"/>
    <mergeCell ref="Q20:S20"/>
    <mergeCell ref="C26:K26"/>
    <mergeCell ref="D28:E28"/>
    <mergeCell ref="F28:G28"/>
    <mergeCell ref="H28:J28"/>
    <mergeCell ref="F21:G21"/>
    <mergeCell ref="H24:J24"/>
    <mergeCell ref="D30:E30"/>
    <mergeCell ref="L16:S16"/>
    <mergeCell ref="O24:P24"/>
    <mergeCell ref="Q24:S24"/>
    <mergeCell ref="Q23:S23"/>
    <mergeCell ref="M21:N21"/>
    <mergeCell ref="M20:N20"/>
    <mergeCell ref="O21:P21"/>
    <mergeCell ref="Q22:S22"/>
    <mergeCell ref="M23:N23"/>
    <mergeCell ref="D22:E22"/>
    <mergeCell ref="O23:P23"/>
    <mergeCell ref="M22:N22"/>
    <mergeCell ref="O22:P22"/>
    <mergeCell ref="Q19:S19"/>
    <mergeCell ref="H22:J22"/>
    <mergeCell ref="D21:E21"/>
    <mergeCell ref="Q21:S21"/>
    <mergeCell ref="O18:P18"/>
    <mergeCell ref="D18:E18"/>
    <mergeCell ref="D20:E20"/>
    <mergeCell ref="H20:J20"/>
    <mergeCell ref="F22:G22"/>
    <mergeCell ref="O20:P20"/>
    <mergeCell ref="D24:E24"/>
    <mergeCell ref="D19:E19"/>
    <mergeCell ref="M18:N18"/>
    <mergeCell ref="M19:N19"/>
    <mergeCell ref="O19:P19"/>
    <mergeCell ref="H21:J21"/>
    <mergeCell ref="H18:J18"/>
    <mergeCell ref="F18:G18"/>
    <mergeCell ref="F20:G20"/>
    <mergeCell ref="M24:N24"/>
    <mergeCell ref="C16:J16"/>
    <mergeCell ref="F19:G19"/>
    <mergeCell ref="H19:J19"/>
    <mergeCell ref="D27:E27"/>
    <mergeCell ref="F27:G27"/>
    <mergeCell ref="H27:J27"/>
    <mergeCell ref="D23:E23"/>
    <mergeCell ref="F23:G23"/>
    <mergeCell ref="H23:J23"/>
    <mergeCell ref="F24:G24"/>
    <mergeCell ref="H5:J5"/>
    <mergeCell ref="C9:E9"/>
    <mergeCell ref="F9:H9"/>
    <mergeCell ref="Q12:S12"/>
    <mergeCell ref="I9:K9"/>
    <mergeCell ref="C7:F7"/>
    <mergeCell ref="G7:K7"/>
    <mergeCell ref="D5:F5"/>
    <mergeCell ref="N5:P5"/>
    <mergeCell ref="I14:J14"/>
    <mergeCell ref="R9:U9"/>
    <mergeCell ref="N7:Q7"/>
    <mergeCell ref="C12:F12"/>
    <mergeCell ref="G12:K12"/>
    <mergeCell ref="N14:Q14"/>
    <mergeCell ref="N9:Q9"/>
    <mergeCell ref="T12:U12"/>
    <mergeCell ref="N12:P12"/>
    <mergeCell ref="E14:H1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32.230000000000004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392" t="s">
        <v>457</v>
      </c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42" customHeight="1" thickBot="1">
      <c r="A4" s="15">
        <f>1.33+1.25+1.33+1.5</f>
        <v>5.41</v>
      </c>
      <c r="B4" s="67" t="s">
        <v>37</v>
      </c>
      <c r="C4" s="561" t="s">
        <v>362</v>
      </c>
      <c r="D4" s="541"/>
      <c r="E4" s="542"/>
      <c r="F4" s="624" t="s">
        <v>288</v>
      </c>
      <c r="G4" s="625"/>
      <c r="H4" s="626"/>
      <c r="I4" s="555" t="s">
        <v>289</v>
      </c>
      <c r="J4" s="555"/>
      <c r="K4" s="556"/>
      <c r="L4" s="181"/>
      <c r="M4" s="182"/>
      <c r="N4" s="557" t="s">
        <v>290</v>
      </c>
      <c r="O4" s="558"/>
      <c r="P4" s="559"/>
      <c r="Q4" s="101"/>
      <c r="R4" s="101"/>
      <c r="S4" s="57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30.75" customHeight="1" thickBot="1">
      <c r="A6" s="15">
        <f>2*2+2</f>
        <v>6</v>
      </c>
      <c r="B6" s="62" t="s">
        <v>38</v>
      </c>
      <c r="C6" s="561" t="s">
        <v>291</v>
      </c>
      <c r="D6" s="541"/>
      <c r="E6" s="541"/>
      <c r="F6" s="542"/>
      <c r="G6" s="540" t="s">
        <v>292</v>
      </c>
      <c r="H6" s="541"/>
      <c r="I6" s="541"/>
      <c r="J6" s="541"/>
      <c r="K6" s="542"/>
      <c r="L6" s="181"/>
      <c r="M6" s="182"/>
      <c r="N6" s="540" t="s">
        <v>334</v>
      </c>
      <c r="O6" s="541"/>
      <c r="P6" s="541"/>
      <c r="Q6" s="542"/>
      <c r="R6" s="101"/>
      <c r="S6" s="5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30.75" customHeight="1" thickBot="1">
      <c r="A8" s="15">
        <f>1.33+2*1.5+1.33+2</f>
        <v>7.66</v>
      </c>
      <c r="B8" s="67" t="s">
        <v>39</v>
      </c>
      <c r="C8" s="560" t="s">
        <v>293</v>
      </c>
      <c r="D8" s="555"/>
      <c r="E8" s="556"/>
      <c r="F8" s="557" t="s">
        <v>294</v>
      </c>
      <c r="G8" s="558"/>
      <c r="H8" s="559"/>
      <c r="I8" s="546" t="s">
        <v>295</v>
      </c>
      <c r="J8" s="547"/>
      <c r="K8" s="548"/>
      <c r="L8" s="181"/>
      <c r="M8" s="182"/>
      <c r="N8" s="555" t="s">
        <v>335</v>
      </c>
      <c r="O8" s="555"/>
      <c r="P8" s="556"/>
      <c r="Q8" s="537" t="s">
        <v>336</v>
      </c>
      <c r="R8" s="538"/>
      <c r="S8" s="538"/>
      <c r="T8" s="539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30.75" customHeight="1" thickBot="1">
      <c r="A10" s="15">
        <f>2+2+3</f>
        <v>7</v>
      </c>
      <c r="B10" s="62" t="s">
        <v>40</v>
      </c>
      <c r="C10" s="543" t="s">
        <v>296</v>
      </c>
      <c r="D10" s="544"/>
      <c r="E10" s="544"/>
      <c r="F10" s="545"/>
      <c r="G10" s="546" t="s">
        <v>297</v>
      </c>
      <c r="H10" s="547"/>
      <c r="I10" s="547"/>
      <c r="J10" s="547"/>
      <c r="K10" s="548"/>
      <c r="L10" s="181"/>
      <c r="M10" s="182"/>
      <c r="N10" s="546" t="s">
        <v>298</v>
      </c>
      <c r="O10" s="547"/>
      <c r="P10" s="547"/>
      <c r="Q10" s="547"/>
      <c r="R10" s="547"/>
      <c r="S10" s="548"/>
      <c r="T10" s="57"/>
      <c r="U10" s="57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55.5" customHeight="1" thickBot="1">
      <c r="A12" s="15">
        <f>1.33+1.33+1.5+2</f>
        <v>6.16</v>
      </c>
      <c r="B12" s="67" t="s">
        <v>41</v>
      </c>
      <c r="C12" s="561" t="s">
        <v>346</v>
      </c>
      <c r="D12" s="541"/>
      <c r="E12" s="542"/>
      <c r="F12" s="555" t="s">
        <v>299</v>
      </c>
      <c r="G12" s="555"/>
      <c r="H12" s="556"/>
      <c r="I12" s="557" t="s">
        <v>287</v>
      </c>
      <c r="J12" s="558"/>
      <c r="K12" s="559"/>
      <c r="L12" s="181"/>
      <c r="M12" s="182"/>
      <c r="N12" s="552" t="s">
        <v>370</v>
      </c>
      <c r="O12" s="553"/>
      <c r="P12" s="537" t="s">
        <v>374</v>
      </c>
      <c r="Q12" s="538"/>
      <c r="R12" s="538"/>
      <c r="S12" s="538"/>
      <c r="T12" s="539"/>
      <c r="U12" s="57"/>
      <c r="V12" s="58"/>
    </row>
    <row r="14" ht="12.75">
      <c r="A14" s="393">
        <f>('sem 37'!A16+'sem 38'!A2+1.33)/2</f>
        <v>32.855</v>
      </c>
    </row>
    <row r="15" ht="12.75">
      <c r="A15" s="217" t="s">
        <v>459</v>
      </c>
    </row>
  </sheetData>
  <sheetProtection/>
  <mergeCells count="20">
    <mergeCell ref="N4:P4"/>
    <mergeCell ref="C4:E4"/>
    <mergeCell ref="I4:K4"/>
    <mergeCell ref="C8:E8"/>
    <mergeCell ref="F12:H12"/>
    <mergeCell ref="F8:H8"/>
    <mergeCell ref="I8:K8"/>
    <mergeCell ref="N12:O12"/>
    <mergeCell ref="F4:H4"/>
    <mergeCell ref="P12:T12"/>
    <mergeCell ref="Q8:T8"/>
    <mergeCell ref="N6:Q6"/>
    <mergeCell ref="C10:F10"/>
    <mergeCell ref="G10:K10"/>
    <mergeCell ref="N10:S10"/>
    <mergeCell ref="I12:K12"/>
    <mergeCell ref="C6:F6"/>
    <mergeCell ref="G6:K6"/>
    <mergeCell ref="C12:E12"/>
    <mergeCell ref="N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35.74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1.33+2.5+1.5+2</f>
        <v>7.33</v>
      </c>
      <c r="B4" s="67" t="s">
        <v>37</v>
      </c>
      <c r="C4" s="560" t="s">
        <v>293</v>
      </c>
      <c r="D4" s="555"/>
      <c r="E4" s="556"/>
      <c r="F4" s="625" t="s">
        <v>300</v>
      </c>
      <c r="G4" s="625"/>
      <c r="H4" s="625"/>
      <c r="I4" s="625"/>
      <c r="J4" s="625"/>
      <c r="K4" s="626"/>
      <c r="L4" s="181"/>
      <c r="M4" s="182"/>
      <c r="N4" s="557" t="s">
        <v>290</v>
      </c>
      <c r="O4" s="558"/>
      <c r="P4" s="558"/>
      <c r="Q4" s="627" t="s">
        <v>301</v>
      </c>
      <c r="R4" s="628"/>
      <c r="S4" s="628"/>
      <c r="T4" s="629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2*2+2</f>
        <v>6</v>
      </c>
      <c r="B6" s="62" t="s">
        <v>38</v>
      </c>
      <c r="C6" s="561" t="s">
        <v>280</v>
      </c>
      <c r="D6" s="541"/>
      <c r="E6" s="541"/>
      <c r="F6" s="542"/>
      <c r="G6" s="540" t="s">
        <v>281</v>
      </c>
      <c r="H6" s="541"/>
      <c r="I6" s="541"/>
      <c r="J6" s="541"/>
      <c r="K6" s="542"/>
      <c r="L6" s="181"/>
      <c r="M6" s="182"/>
      <c r="N6" s="540" t="s">
        <v>333</v>
      </c>
      <c r="O6" s="541"/>
      <c r="P6" s="541"/>
      <c r="Q6" s="542"/>
      <c r="R6" s="101"/>
      <c r="S6" s="5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1.33+1.5*2+4</f>
        <v>8.33</v>
      </c>
      <c r="B8" s="67" t="s">
        <v>39</v>
      </c>
      <c r="C8" s="560" t="s">
        <v>282</v>
      </c>
      <c r="D8" s="555"/>
      <c r="E8" s="556"/>
      <c r="F8" s="557" t="s">
        <v>283</v>
      </c>
      <c r="G8" s="558"/>
      <c r="H8" s="559"/>
      <c r="I8" s="546" t="s">
        <v>284</v>
      </c>
      <c r="J8" s="547"/>
      <c r="K8" s="548"/>
      <c r="L8" s="181"/>
      <c r="M8" s="182"/>
      <c r="N8" s="537" t="s">
        <v>351</v>
      </c>
      <c r="O8" s="538"/>
      <c r="P8" s="538"/>
      <c r="Q8" s="538"/>
      <c r="R8" s="538"/>
      <c r="S8" s="538"/>
      <c r="T8" s="538"/>
      <c r="U8" s="539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2+2+4</f>
        <v>8</v>
      </c>
      <c r="B10" s="62" t="s">
        <v>40</v>
      </c>
      <c r="C10" s="543" t="s">
        <v>285</v>
      </c>
      <c r="D10" s="544"/>
      <c r="E10" s="544"/>
      <c r="F10" s="545"/>
      <c r="G10" s="630" t="s">
        <v>302</v>
      </c>
      <c r="H10" s="544"/>
      <c r="I10" s="544"/>
      <c r="J10" s="544"/>
      <c r="K10" s="545"/>
      <c r="L10" s="181"/>
      <c r="M10" s="182"/>
      <c r="N10" s="537" t="s">
        <v>272</v>
      </c>
      <c r="O10" s="538"/>
      <c r="P10" s="538"/>
      <c r="Q10" s="539"/>
      <c r="R10" s="537" t="s">
        <v>303</v>
      </c>
      <c r="S10" s="538"/>
      <c r="T10" s="538"/>
      <c r="U10" s="539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15">
        <f>1.33+1.25+1.5+2</f>
        <v>6.08</v>
      </c>
      <c r="B12" s="67" t="s">
        <v>41</v>
      </c>
      <c r="C12" s="560" t="s">
        <v>282</v>
      </c>
      <c r="D12" s="555"/>
      <c r="E12" s="556"/>
      <c r="F12" s="624" t="s">
        <v>304</v>
      </c>
      <c r="G12" s="625"/>
      <c r="H12" s="626"/>
      <c r="I12" s="557" t="s">
        <v>287</v>
      </c>
      <c r="J12" s="558"/>
      <c r="K12" s="559"/>
      <c r="L12" s="181"/>
      <c r="M12" s="182"/>
      <c r="N12" s="630" t="s">
        <v>305</v>
      </c>
      <c r="O12" s="544"/>
      <c r="P12" s="544"/>
      <c r="Q12" s="545"/>
      <c r="R12" s="101"/>
      <c r="S12" s="57"/>
      <c r="T12" s="57"/>
      <c r="U12" s="57"/>
      <c r="V12" s="58"/>
    </row>
    <row r="14" ht="12.75">
      <c r="A14" s="393">
        <f>(2*'sem 38'!A14+'sem 39'!A2)/3</f>
        <v>33.81666666666666</v>
      </c>
    </row>
    <row r="15" ht="12.75">
      <c r="A15" s="217" t="s">
        <v>459</v>
      </c>
    </row>
  </sheetData>
  <sheetProtection/>
  <mergeCells count="19">
    <mergeCell ref="I12:K12"/>
    <mergeCell ref="N10:Q10"/>
    <mergeCell ref="C12:E12"/>
    <mergeCell ref="F8:H8"/>
    <mergeCell ref="I8:K8"/>
    <mergeCell ref="R10:U10"/>
    <mergeCell ref="C10:F10"/>
    <mergeCell ref="F12:H12"/>
    <mergeCell ref="G10:K10"/>
    <mergeCell ref="N12:Q12"/>
    <mergeCell ref="N4:P4"/>
    <mergeCell ref="Q4:T4"/>
    <mergeCell ref="C6:F6"/>
    <mergeCell ref="G6:K6"/>
    <mergeCell ref="C4:E4"/>
    <mergeCell ref="C8:E8"/>
    <mergeCell ref="N6:Q6"/>
    <mergeCell ref="F4:K4"/>
    <mergeCell ref="N8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SUM(A4:A12)</f>
        <v>37.49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1.33+2+1.33+2</f>
        <v>6.66</v>
      </c>
      <c r="B4" s="67" t="s">
        <v>37</v>
      </c>
      <c r="C4" s="560" t="s">
        <v>293</v>
      </c>
      <c r="D4" s="555"/>
      <c r="E4" s="556"/>
      <c r="F4" s="540" t="s">
        <v>382</v>
      </c>
      <c r="G4" s="541"/>
      <c r="H4" s="541"/>
      <c r="I4" s="542"/>
      <c r="J4" s="101"/>
      <c r="K4" s="99"/>
      <c r="L4" s="181"/>
      <c r="M4" s="182"/>
      <c r="N4" s="555" t="s">
        <v>392</v>
      </c>
      <c r="O4" s="555"/>
      <c r="P4" s="556"/>
      <c r="Q4" s="540" t="s">
        <v>421</v>
      </c>
      <c r="R4" s="541"/>
      <c r="S4" s="541"/>
      <c r="T4" s="542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2+2+3</f>
        <v>7</v>
      </c>
      <c r="B6" s="62" t="s">
        <v>38</v>
      </c>
      <c r="C6" s="561" t="s">
        <v>280</v>
      </c>
      <c r="D6" s="541"/>
      <c r="E6" s="541"/>
      <c r="F6" s="542"/>
      <c r="G6" s="627" t="s">
        <v>420</v>
      </c>
      <c r="H6" s="628"/>
      <c r="I6" s="628"/>
      <c r="J6" s="628"/>
      <c r="K6" s="629"/>
      <c r="L6" s="181"/>
      <c r="M6" s="182"/>
      <c r="N6" s="631" t="s">
        <v>306</v>
      </c>
      <c r="O6" s="632"/>
      <c r="P6" s="632"/>
      <c r="Q6" s="632"/>
      <c r="R6" s="632"/>
      <c r="S6" s="633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1.33+2*1.5+4</f>
        <v>8.33</v>
      </c>
      <c r="B8" s="67" t="s">
        <v>39</v>
      </c>
      <c r="C8" s="560" t="s">
        <v>293</v>
      </c>
      <c r="D8" s="555"/>
      <c r="E8" s="556"/>
      <c r="F8" s="557" t="s">
        <v>294</v>
      </c>
      <c r="G8" s="558"/>
      <c r="H8" s="559"/>
      <c r="I8" s="631" t="s">
        <v>295</v>
      </c>
      <c r="J8" s="632"/>
      <c r="K8" s="633"/>
      <c r="L8" s="181"/>
      <c r="M8" s="182"/>
      <c r="N8" s="537" t="s">
        <v>354</v>
      </c>
      <c r="O8" s="538"/>
      <c r="P8" s="538"/>
      <c r="Q8" s="539"/>
      <c r="R8" s="537" t="s">
        <v>307</v>
      </c>
      <c r="S8" s="538"/>
      <c r="T8" s="539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2+2+2+2</f>
        <v>8</v>
      </c>
      <c r="B10" s="62" t="s">
        <v>40</v>
      </c>
      <c r="C10" s="543" t="s">
        <v>285</v>
      </c>
      <c r="D10" s="544"/>
      <c r="E10" s="544"/>
      <c r="F10" s="545"/>
      <c r="G10" s="546" t="s">
        <v>286</v>
      </c>
      <c r="H10" s="547"/>
      <c r="I10" s="547"/>
      <c r="J10" s="547"/>
      <c r="K10" s="548"/>
      <c r="L10" s="181"/>
      <c r="M10" s="182"/>
      <c r="N10" s="540" t="s">
        <v>437</v>
      </c>
      <c r="O10" s="541"/>
      <c r="P10" s="541"/>
      <c r="Q10" s="542"/>
      <c r="R10" s="558" t="s">
        <v>438</v>
      </c>
      <c r="S10" s="558"/>
      <c r="T10" s="558"/>
      <c r="U10" s="559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42" customHeight="1" thickBot="1">
      <c r="A12" s="15">
        <f>2+1+1.5+3</f>
        <v>7.5</v>
      </c>
      <c r="B12" s="67" t="s">
        <v>41</v>
      </c>
      <c r="C12" s="561" t="s">
        <v>435</v>
      </c>
      <c r="D12" s="541"/>
      <c r="E12" s="541"/>
      <c r="F12" s="542"/>
      <c r="G12" s="557" t="s">
        <v>436</v>
      </c>
      <c r="H12" s="558"/>
      <c r="I12" s="559"/>
      <c r="J12" s="557" t="s">
        <v>391</v>
      </c>
      <c r="K12" s="558"/>
      <c r="L12" s="559"/>
      <c r="M12" s="181"/>
      <c r="N12" s="182"/>
      <c r="O12" s="546" t="s">
        <v>347</v>
      </c>
      <c r="P12" s="547"/>
      <c r="Q12" s="547"/>
      <c r="R12" s="547"/>
      <c r="S12" s="547"/>
      <c r="T12" s="548"/>
      <c r="U12" s="57"/>
      <c r="V12" s="58"/>
    </row>
    <row r="14" spans="1:4" ht="12.75">
      <c r="A14" s="393">
        <f>(3*'sem 39'!A14+'sem 40'!A2)/4</f>
        <v>34.735</v>
      </c>
      <c r="D14" s="216" t="s">
        <v>330</v>
      </c>
    </row>
    <row r="15" ht="12.75">
      <c r="A15" s="217" t="s">
        <v>459</v>
      </c>
    </row>
    <row r="20" ht="13.5" customHeight="1"/>
  </sheetData>
  <sheetProtection/>
  <mergeCells count="20">
    <mergeCell ref="F8:H8"/>
    <mergeCell ref="N8:Q8"/>
    <mergeCell ref="R8:T8"/>
    <mergeCell ref="N6:S6"/>
    <mergeCell ref="C6:F6"/>
    <mergeCell ref="C4:E4"/>
    <mergeCell ref="F4:I4"/>
    <mergeCell ref="G6:K6"/>
    <mergeCell ref="Q4:T4"/>
    <mergeCell ref="N4:P4"/>
    <mergeCell ref="C12:F12"/>
    <mergeCell ref="G12:I12"/>
    <mergeCell ref="C8:E8"/>
    <mergeCell ref="O12:T12"/>
    <mergeCell ref="I8:K8"/>
    <mergeCell ref="C10:F10"/>
    <mergeCell ref="G10:K10"/>
    <mergeCell ref="J12:L12"/>
    <mergeCell ref="R10:U10"/>
    <mergeCell ref="N10:Q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387" customWidth="1"/>
  </cols>
  <sheetData>
    <row r="1" ht="12.75">
      <c r="A1" s="387">
        <v>35</v>
      </c>
    </row>
    <row r="2" spans="1:22" s="4" customFormat="1" ht="25.5">
      <c r="A2" s="6">
        <f>SUM(A4:A13)</f>
        <v>35.650000000000006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2+1.33+2+1.5</f>
        <v>6.83</v>
      </c>
      <c r="B4" s="67" t="s">
        <v>37</v>
      </c>
      <c r="C4" s="561" t="s">
        <v>399</v>
      </c>
      <c r="D4" s="541"/>
      <c r="E4" s="541"/>
      <c r="F4" s="542"/>
      <c r="G4" s="554" t="s">
        <v>426</v>
      </c>
      <c r="H4" s="555"/>
      <c r="I4" s="555"/>
      <c r="J4" s="385"/>
      <c r="K4" s="181"/>
      <c r="L4" s="182"/>
      <c r="M4" s="627" t="s">
        <v>443</v>
      </c>
      <c r="N4" s="628"/>
      <c r="O4" s="628"/>
      <c r="P4" s="629"/>
      <c r="Q4" s="557" t="s">
        <v>444</v>
      </c>
      <c r="R4" s="558"/>
      <c r="S4" s="559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3.5+3</f>
        <v>6.5</v>
      </c>
      <c r="B6" s="62" t="s">
        <v>38</v>
      </c>
      <c r="C6" s="180"/>
      <c r="D6" s="218"/>
      <c r="E6" s="540" t="s">
        <v>313</v>
      </c>
      <c r="F6" s="541"/>
      <c r="G6" s="541"/>
      <c r="H6" s="541"/>
      <c r="I6" s="541"/>
      <c r="J6" s="541"/>
      <c r="K6" s="542"/>
      <c r="L6" s="181"/>
      <c r="M6" s="182"/>
      <c r="N6" s="631" t="s">
        <v>306</v>
      </c>
      <c r="O6" s="632"/>
      <c r="P6" s="632"/>
      <c r="Q6" s="632"/>
      <c r="R6" s="632"/>
      <c r="S6" s="633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1.33+1.5+1.33+3</f>
        <v>7.16</v>
      </c>
      <c r="B8" s="67" t="s">
        <v>39</v>
      </c>
      <c r="C8" s="560" t="s">
        <v>293</v>
      </c>
      <c r="D8" s="555"/>
      <c r="E8" s="556"/>
      <c r="F8" s="557" t="s">
        <v>294</v>
      </c>
      <c r="G8" s="558"/>
      <c r="H8" s="559"/>
      <c r="I8" s="546" t="s">
        <v>295</v>
      </c>
      <c r="J8" s="547"/>
      <c r="K8" s="548"/>
      <c r="L8" s="181"/>
      <c r="M8" s="182"/>
      <c r="N8" s="540" t="s">
        <v>231</v>
      </c>
      <c r="O8" s="541"/>
      <c r="P8" s="541"/>
      <c r="Q8" s="541"/>
      <c r="R8" s="541"/>
      <c r="S8" s="542"/>
      <c r="T8" s="57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2+2+4</f>
        <v>8</v>
      </c>
      <c r="B10" s="62" t="s">
        <v>40</v>
      </c>
      <c r="C10" s="543" t="s">
        <v>285</v>
      </c>
      <c r="D10" s="544"/>
      <c r="E10" s="544"/>
      <c r="F10" s="545"/>
      <c r="G10" s="546" t="s">
        <v>286</v>
      </c>
      <c r="H10" s="547"/>
      <c r="I10" s="547"/>
      <c r="J10" s="547"/>
      <c r="K10" s="548"/>
      <c r="L10" s="181"/>
      <c r="M10" s="182"/>
      <c r="N10" s="537" t="s">
        <v>273</v>
      </c>
      <c r="O10" s="538"/>
      <c r="P10" s="538"/>
      <c r="Q10" s="539"/>
      <c r="R10" s="537" t="s">
        <v>308</v>
      </c>
      <c r="S10" s="538"/>
      <c r="T10" s="538"/>
      <c r="U10" s="539"/>
      <c r="V10" s="58"/>
    </row>
    <row r="11" spans="1:22" s="10" customFormat="1" ht="12" customHeight="1">
      <c r="A11" s="9"/>
      <c r="B11" s="102"/>
      <c r="C11" s="102"/>
      <c r="D11" s="102"/>
      <c r="E11" s="102"/>
      <c r="F11" s="102"/>
      <c r="G11" s="389"/>
      <c r="H11" s="389"/>
      <c r="I11" s="389"/>
      <c r="J11" s="389"/>
      <c r="K11" s="389"/>
      <c r="L11" s="390"/>
      <c r="M11" s="391"/>
      <c r="N11" s="221" t="s">
        <v>455</v>
      </c>
      <c r="O11" s="389"/>
      <c r="P11" s="389"/>
      <c r="Q11" s="389"/>
      <c r="R11" s="389"/>
      <c r="S11" s="389"/>
      <c r="T11" s="389"/>
      <c r="U11" s="389"/>
      <c r="V11" s="388"/>
    </row>
    <row r="12" spans="1:22" s="8" customFormat="1" ht="13.5" thickBot="1">
      <c r="A12" s="15"/>
      <c r="B12" s="50"/>
      <c r="C12" s="9"/>
      <c r="D12" s="9"/>
      <c r="E12" s="9"/>
      <c r="F12" s="9"/>
      <c r="G12" s="9"/>
      <c r="H12" s="9"/>
      <c r="I12" s="9"/>
      <c r="J12" s="9"/>
      <c r="K12" s="9"/>
      <c r="L12" s="9"/>
      <c r="M12" s="71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8" customFormat="1" ht="41.25" customHeight="1" thickBot="1">
      <c r="A13" s="15">
        <f>1.33+1.5+1.33+3</f>
        <v>7.16</v>
      </c>
      <c r="B13" s="67" t="s">
        <v>41</v>
      </c>
      <c r="C13" s="561" t="s">
        <v>309</v>
      </c>
      <c r="D13" s="541"/>
      <c r="E13" s="542"/>
      <c r="F13" s="557" t="s">
        <v>294</v>
      </c>
      <c r="G13" s="558"/>
      <c r="H13" s="559"/>
      <c r="I13" s="555" t="s">
        <v>452</v>
      </c>
      <c r="J13" s="555"/>
      <c r="K13" s="556"/>
      <c r="L13" s="181"/>
      <c r="M13" s="546" t="s">
        <v>439</v>
      </c>
      <c r="N13" s="547"/>
      <c r="O13" s="547"/>
      <c r="P13" s="547"/>
      <c r="Q13" s="547"/>
      <c r="R13" s="548"/>
      <c r="S13" s="57"/>
      <c r="T13" s="57"/>
      <c r="U13" s="57"/>
      <c r="V13" s="58"/>
    </row>
    <row r="15" ht="12.75">
      <c r="A15" s="393">
        <f>(4*'sem 40'!A14+'sem 43'!A2)/5</f>
        <v>34.918</v>
      </c>
    </row>
    <row r="16" ht="12.75">
      <c r="A16" s="217" t="s">
        <v>459</v>
      </c>
    </row>
  </sheetData>
  <sheetProtection/>
  <mergeCells count="18">
    <mergeCell ref="G4:I4"/>
    <mergeCell ref="Q4:S4"/>
    <mergeCell ref="N6:S6"/>
    <mergeCell ref="R10:U10"/>
    <mergeCell ref="M13:R13"/>
    <mergeCell ref="F8:H8"/>
    <mergeCell ref="N10:Q10"/>
    <mergeCell ref="M4:P4"/>
    <mergeCell ref="C4:F4"/>
    <mergeCell ref="C8:E8"/>
    <mergeCell ref="G10:K10"/>
    <mergeCell ref="N8:S8"/>
    <mergeCell ref="C10:F10"/>
    <mergeCell ref="I13:K13"/>
    <mergeCell ref="C13:E13"/>
    <mergeCell ref="E6:K6"/>
    <mergeCell ref="F13:H13"/>
    <mergeCell ref="I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57421875" style="387" customWidth="1"/>
  </cols>
  <sheetData>
    <row r="1" ht="12.75">
      <c r="A1" s="387">
        <f>35/5*4</f>
        <v>28</v>
      </c>
    </row>
    <row r="2" spans="1:22" s="4" customFormat="1" ht="25.5">
      <c r="A2" s="6">
        <f>SUM(A4:A12)</f>
        <v>28.33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1.33+2+1.5+2</f>
        <v>6.83</v>
      </c>
      <c r="B4" s="67" t="s">
        <v>37</v>
      </c>
      <c r="C4" s="560" t="s">
        <v>293</v>
      </c>
      <c r="D4" s="555"/>
      <c r="E4" s="556"/>
      <c r="F4" s="540" t="s">
        <v>382</v>
      </c>
      <c r="G4" s="541"/>
      <c r="H4" s="541"/>
      <c r="I4" s="542"/>
      <c r="J4" s="305"/>
      <c r="K4" s="181"/>
      <c r="L4" s="182"/>
      <c r="M4" s="372" t="s">
        <v>418</v>
      </c>
      <c r="N4" s="636" t="s">
        <v>424</v>
      </c>
      <c r="O4" s="637"/>
      <c r="P4" s="637"/>
      <c r="Q4" s="627" t="s">
        <v>311</v>
      </c>
      <c r="R4" s="628"/>
      <c r="S4" s="628"/>
      <c r="T4" s="629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2*2+3</f>
        <v>7</v>
      </c>
      <c r="B6" s="62" t="s">
        <v>38</v>
      </c>
      <c r="C6" s="561" t="s">
        <v>280</v>
      </c>
      <c r="D6" s="541"/>
      <c r="E6" s="541"/>
      <c r="F6" s="542"/>
      <c r="G6" s="554" t="s">
        <v>446</v>
      </c>
      <c r="H6" s="555"/>
      <c r="I6" s="555"/>
      <c r="J6" s="555"/>
      <c r="K6" s="556"/>
      <c r="L6" s="181"/>
      <c r="M6" s="182"/>
      <c r="N6" s="631" t="s">
        <v>389</v>
      </c>
      <c r="O6" s="632"/>
      <c r="P6" s="632"/>
      <c r="Q6" s="632"/>
      <c r="R6" s="632"/>
      <c r="S6" s="633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6.25" thickBot="1">
      <c r="A8" s="7" t="s">
        <v>458</v>
      </c>
      <c r="B8" s="67" t="s">
        <v>190</v>
      </c>
      <c r="C8" s="204"/>
      <c r="D8" s="205"/>
      <c r="E8" s="205"/>
      <c r="F8" s="205"/>
      <c r="G8" s="205"/>
      <c r="H8" s="205"/>
      <c r="I8" s="205"/>
      <c r="J8" s="205"/>
      <c r="K8" s="206"/>
      <c r="L8" s="181"/>
      <c r="M8" s="182"/>
      <c r="N8" s="207"/>
      <c r="O8" s="205"/>
      <c r="P8" s="205"/>
      <c r="Q8" s="205"/>
      <c r="R8" s="205"/>
      <c r="S8" s="208"/>
      <c r="T8" s="208"/>
      <c r="U8" s="208"/>
      <c r="V8" s="209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2+2+3</f>
        <v>7</v>
      </c>
      <c r="B10" s="62" t="s">
        <v>40</v>
      </c>
      <c r="C10" s="543" t="s">
        <v>285</v>
      </c>
      <c r="D10" s="544"/>
      <c r="E10" s="544"/>
      <c r="F10" s="545"/>
      <c r="G10" s="546" t="s">
        <v>286</v>
      </c>
      <c r="H10" s="547"/>
      <c r="I10" s="547"/>
      <c r="J10" s="547"/>
      <c r="K10" s="548"/>
      <c r="L10" s="181"/>
      <c r="M10" s="182"/>
      <c r="N10" s="540" t="s">
        <v>231</v>
      </c>
      <c r="O10" s="541"/>
      <c r="P10" s="541"/>
      <c r="Q10" s="541"/>
      <c r="R10" s="541"/>
      <c r="S10" s="542"/>
      <c r="T10" s="57"/>
      <c r="U10" s="57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15">
        <f>2+2+3.5</f>
        <v>7.5</v>
      </c>
      <c r="B12" s="67" t="s">
        <v>41</v>
      </c>
      <c r="C12" s="537" t="s">
        <v>445</v>
      </c>
      <c r="D12" s="634"/>
      <c r="E12" s="634"/>
      <c r="F12" s="634"/>
      <c r="G12" s="635"/>
      <c r="H12" s="541" t="s">
        <v>312</v>
      </c>
      <c r="I12" s="541"/>
      <c r="J12" s="541"/>
      <c r="K12" s="542"/>
      <c r="L12" s="375"/>
      <c r="M12" s="538" t="s">
        <v>460</v>
      </c>
      <c r="N12" s="538"/>
      <c r="O12" s="538"/>
      <c r="P12" s="538"/>
      <c r="Q12" s="538"/>
      <c r="R12" s="538"/>
      <c r="S12" s="539"/>
      <c r="T12" s="57"/>
      <c r="U12" s="57"/>
      <c r="V12" s="58"/>
    </row>
    <row r="14" spans="1:3" ht="13.5" customHeight="1">
      <c r="A14" s="393">
        <f>(5*'sem 43'!A15+'sem 44'!A2)/(5+4/5)</f>
        <v>34.98620689655173</v>
      </c>
      <c r="C14" s="11" t="s">
        <v>191</v>
      </c>
    </row>
    <row r="15" ht="13.5" customHeight="1">
      <c r="A15" s="217" t="s">
        <v>459</v>
      </c>
    </row>
    <row r="17" ht="13.5" customHeight="1"/>
    <row r="18" ht="13.5" customHeight="1"/>
  </sheetData>
  <sheetProtection/>
  <mergeCells count="13">
    <mergeCell ref="N4:P4"/>
    <mergeCell ref="C4:E4"/>
    <mergeCell ref="Q4:T4"/>
    <mergeCell ref="N6:S6"/>
    <mergeCell ref="F4:I4"/>
    <mergeCell ref="N10:S10"/>
    <mergeCell ref="C10:F10"/>
    <mergeCell ref="G10:K10"/>
    <mergeCell ref="H12:K12"/>
    <mergeCell ref="M12:S12"/>
    <mergeCell ref="C6:F6"/>
    <mergeCell ref="G6:K6"/>
    <mergeCell ref="C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 guznnzc</dc:creator>
  <cp:keywords/>
  <dc:description/>
  <cp:lastModifiedBy>Utilisateur</cp:lastModifiedBy>
  <cp:lastPrinted>2023-09-13T12:33:37Z</cp:lastPrinted>
  <dcterms:created xsi:type="dcterms:W3CDTF">2017-03-31T10:51:14Z</dcterms:created>
  <dcterms:modified xsi:type="dcterms:W3CDTF">2024-02-20T08:55:25Z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